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1075" windowHeight="100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5" i="1" l="1"/>
  <c r="A4" i="1"/>
  <c r="E268" i="1"/>
  <c r="C268" i="1"/>
  <c r="A268" i="1"/>
  <c r="D267" i="1"/>
  <c r="B267" i="1"/>
  <c r="E266" i="1"/>
  <c r="C266" i="1"/>
  <c r="A266" i="1"/>
  <c r="D265" i="1"/>
  <c r="B265" i="1"/>
  <c r="E264" i="1"/>
  <c r="C264" i="1"/>
  <c r="A264" i="1"/>
  <c r="D263" i="1"/>
  <c r="B263" i="1"/>
  <c r="E262" i="1"/>
  <c r="C262" i="1"/>
  <c r="A262" i="1"/>
  <c r="D261" i="1"/>
  <c r="B261" i="1"/>
  <c r="E260" i="1"/>
  <c r="C260" i="1"/>
  <c r="A260" i="1"/>
  <c r="D259" i="1"/>
  <c r="B259" i="1"/>
  <c r="E258" i="1"/>
  <c r="C258" i="1"/>
  <c r="A258" i="1"/>
  <c r="D257" i="1"/>
  <c r="B257" i="1"/>
  <c r="E256" i="1"/>
  <c r="C256" i="1"/>
  <c r="A256" i="1"/>
  <c r="D255" i="1"/>
  <c r="B255" i="1"/>
  <c r="E254" i="1"/>
  <c r="C254" i="1"/>
  <c r="A254" i="1"/>
  <c r="D253" i="1"/>
  <c r="B253" i="1"/>
  <c r="E252" i="1"/>
  <c r="C252" i="1"/>
  <c r="A252" i="1"/>
  <c r="D251" i="1"/>
  <c r="B251" i="1"/>
  <c r="E250" i="1"/>
  <c r="C250" i="1"/>
  <c r="A250" i="1"/>
  <c r="D249" i="1"/>
  <c r="B249" i="1"/>
  <c r="E248" i="1"/>
  <c r="C248" i="1"/>
  <c r="A248" i="1"/>
  <c r="D247" i="1"/>
  <c r="B247" i="1"/>
  <c r="E246" i="1"/>
  <c r="C246" i="1"/>
  <c r="A246" i="1"/>
  <c r="D245" i="1"/>
  <c r="B245" i="1"/>
  <c r="E244" i="1"/>
  <c r="C244" i="1"/>
  <c r="A244" i="1"/>
  <c r="D243" i="1"/>
  <c r="B243" i="1"/>
  <c r="E242" i="1"/>
  <c r="C242" i="1"/>
  <c r="A242" i="1"/>
  <c r="D241" i="1"/>
  <c r="B241" i="1"/>
  <c r="E240" i="1"/>
  <c r="C240" i="1"/>
  <c r="A240" i="1"/>
  <c r="D239" i="1"/>
  <c r="B239" i="1"/>
  <c r="E238" i="1"/>
  <c r="C238" i="1"/>
  <c r="A238" i="1"/>
  <c r="D237" i="1"/>
  <c r="B237" i="1"/>
  <c r="E236" i="1"/>
  <c r="C236" i="1"/>
  <c r="A236" i="1"/>
  <c r="D235" i="1"/>
  <c r="B235" i="1"/>
  <c r="E234" i="1"/>
  <c r="C234" i="1"/>
  <c r="A234" i="1"/>
  <c r="D233" i="1"/>
  <c r="B233" i="1"/>
  <c r="E232" i="1"/>
  <c r="C232" i="1"/>
  <c r="A232" i="1"/>
  <c r="D231" i="1"/>
  <c r="B231" i="1"/>
  <c r="E230" i="1"/>
  <c r="C230" i="1"/>
  <c r="A230" i="1"/>
  <c r="D229" i="1"/>
  <c r="B229" i="1"/>
  <c r="E228" i="1"/>
  <c r="C228" i="1"/>
  <c r="A228" i="1"/>
  <c r="D227" i="1"/>
  <c r="B227" i="1"/>
  <c r="E226" i="1"/>
  <c r="C226" i="1"/>
  <c r="A226" i="1"/>
  <c r="D225" i="1"/>
  <c r="B225" i="1"/>
  <c r="E224" i="1"/>
  <c r="C224" i="1"/>
  <c r="A224" i="1"/>
  <c r="D223" i="1"/>
  <c r="B223" i="1"/>
  <c r="E222" i="1"/>
  <c r="C222" i="1"/>
  <c r="A222" i="1"/>
  <c r="D221" i="1"/>
  <c r="B221" i="1"/>
  <c r="E220" i="1"/>
  <c r="C220" i="1"/>
  <c r="A220" i="1"/>
  <c r="D219" i="1"/>
  <c r="B219" i="1"/>
  <c r="E218" i="1"/>
  <c r="C218" i="1"/>
  <c r="D268" i="1"/>
  <c r="B268" i="1"/>
  <c r="E267" i="1"/>
  <c r="C267" i="1"/>
  <c r="A267" i="1"/>
  <c r="D266" i="1"/>
  <c r="B266" i="1"/>
  <c r="E265" i="1"/>
  <c r="C265" i="1"/>
  <c r="A265" i="1"/>
  <c r="D264" i="1"/>
  <c r="B264" i="1"/>
  <c r="E263" i="1"/>
  <c r="C263" i="1"/>
  <c r="A263" i="1"/>
  <c r="D262" i="1"/>
  <c r="B262" i="1"/>
  <c r="E261" i="1"/>
  <c r="C261" i="1"/>
  <c r="A261" i="1"/>
  <c r="D260" i="1"/>
  <c r="B260" i="1"/>
  <c r="E259" i="1"/>
  <c r="C259" i="1"/>
  <c r="A259" i="1"/>
  <c r="D258" i="1"/>
  <c r="B258" i="1"/>
  <c r="E257" i="1"/>
  <c r="C257" i="1"/>
  <c r="A257" i="1"/>
  <c r="D256" i="1"/>
  <c r="B256" i="1"/>
  <c r="E255" i="1"/>
  <c r="C255" i="1"/>
  <c r="A255" i="1"/>
  <c r="D254" i="1"/>
  <c r="B254" i="1"/>
  <c r="E253" i="1"/>
  <c r="C253" i="1"/>
  <c r="A253" i="1"/>
  <c r="D252" i="1"/>
  <c r="B252" i="1"/>
  <c r="E251" i="1"/>
  <c r="C251" i="1"/>
  <c r="A251" i="1"/>
  <c r="D250" i="1"/>
  <c r="B250" i="1"/>
  <c r="E249" i="1"/>
  <c r="C249" i="1"/>
  <c r="A249" i="1"/>
  <c r="D248" i="1"/>
  <c r="B248" i="1"/>
  <c r="E247" i="1"/>
  <c r="C247" i="1"/>
  <c r="A247" i="1"/>
  <c r="D246" i="1"/>
  <c r="B246" i="1"/>
  <c r="E245" i="1"/>
  <c r="C245" i="1"/>
  <c r="A245" i="1"/>
  <c r="D244" i="1"/>
  <c r="B244" i="1"/>
  <c r="E243" i="1"/>
  <c r="C243" i="1"/>
  <c r="A243" i="1"/>
  <c r="D242" i="1"/>
  <c r="B242" i="1"/>
  <c r="E241" i="1"/>
  <c r="C241" i="1"/>
  <c r="A241" i="1"/>
  <c r="D240" i="1"/>
  <c r="B240" i="1"/>
  <c r="E239" i="1"/>
  <c r="C239" i="1"/>
  <c r="A239" i="1"/>
  <c r="D238" i="1"/>
  <c r="B238" i="1"/>
  <c r="E237" i="1"/>
  <c r="C237" i="1"/>
  <c r="A237" i="1"/>
  <c r="D236" i="1"/>
  <c r="B236" i="1"/>
  <c r="E235" i="1"/>
  <c r="C235" i="1"/>
  <c r="A235" i="1"/>
  <c r="D234" i="1"/>
  <c r="B234" i="1"/>
  <c r="E233" i="1"/>
  <c r="C233" i="1"/>
  <c r="A233" i="1"/>
  <c r="D232" i="1"/>
  <c r="B232" i="1"/>
  <c r="E231" i="1"/>
  <c r="C231" i="1"/>
  <c r="A231" i="1"/>
  <c r="D230" i="1"/>
  <c r="B230" i="1"/>
  <c r="E229" i="1"/>
  <c r="C229" i="1"/>
  <c r="A229" i="1"/>
  <c r="D228" i="1"/>
  <c r="B228" i="1"/>
  <c r="E227" i="1"/>
  <c r="C227" i="1"/>
  <c r="A227" i="1"/>
  <c r="D226" i="1"/>
  <c r="B226" i="1"/>
  <c r="E225" i="1"/>
  <c r="C225" i="1"/>
  <c r="A225" i="1"/>
  <c r="D224" i="1"/>
  <c r="B224" i="1"/>
  <c r="E223" i="1"/>
  <c r="C223" i="1"/>
  <c r="A223" i="1"/>
  <c r="D222" i="1"/>
  <c r="B222" i="1"/>
  <c r="E221" i="1"/>
  <c r="C221" i="1"/>
  <c r="A221" i="1"/>
  <c r="D220" i="1"/>
  <c r="B220" i="1"/>
  <c r="E219" i="1"/>
  <c r="C219" i="1"/>
  <c r="A219" i="1"/>
  <c r="D218" i="1"/>
  <c r="A218" i="1"/>
  <c r="D217" i="1"/>
  <c r="B217" i="1"/>
  <c r="E216" i="1"/>
  <c r="C216" i="1"/>
  <c r="A216" i="1"/>
  <c r="D215" i="1"/>
  <c r="B215" i="1"/>
  <c r="E214" i="1"/>
  <c r="C214" i="1"/>
  <c r="A214" i="1"/>
  <c r="D213" i="1"/>
  <c r="B213" i="1"/>
  <c r="E212" i="1"/>
  <c r="C212" i="1"/>
  <c r="A212" i="1"/>
  <c r="D211" i="1"/>
  <c r="B211" i="1"/>
  <c r="E210" i="1"/>
  <c r="C210" i="1"/>
  <c r="A210" i="1"/>
  <c r="D209" i="1"/>
  <c r="B209" i="1"/>
  <c r="E208" i="1"/>
  <c r="C208" i="1"/>
  <c r="A208" i="1"/>
  <c r="D207" i="1"/>
  <c r="B207" i="1"/>
  <c r="E206" i="1"/>
  <c r="C206" i="1"/>
  <c r="A206" i="1"/>
  <c r="D205" i="1"/>
  <c r="B205" i="1"/>
  <c r="E204" i="1"/>
  <c r="C204" i="1"/>
  <c r="A204" i="1"/>
  <c r="D203" i="1"/>
  <c r="B203" i="1"/>
  <c r="E202" i="1"/>
  <c r="C202" i="1"/>
  <c r="A202" i="1"/>
  <c r="D201" i="1"/>
  <c r="B201" i="1"/>
  <c r="E200" i="1"/>
  <c r="C200" i="1"/>
  <c r="A200" i="1"/>
  <c r="D199" i="1"/>
  <c r="B199" i="1"/>
  <c r="E198" i="1"/>
  <c r="C198" i="1"/>
  <c r="A198" i="1"/>
  <c r="D197" i="1"/>
  <c r="B197" i="1"/>
  <c r="E196" i="1"/>
  <c r="C196" i="1"/>
  <c r="A196" i="1"/>
  <c r="D195" i="1"/>
  <c r="B195" i="1"/>
  <c r="E194" i="1"/>
  <c r="C194" i="1"/>
  <c r="A194" i="1"/>
  <c r="D193" i="1"/>
  <c r="B193" i="1"/>
  <c r="E192" i="1"/>
  <c r="C192" i="1"/>
  <c r="A192" i="1"/>
  <c r="D191" i="1"/>
  <c r="B191" i="1"/>
  <c r="E190" i="1"/>
  <c r="C190" i="1"/>
  <c r="A190" i="1"/>
  <c r="D189" i="1"/>
  <c r="B189" i="1"/>
  <c r="E188" i="1"/>
  <c r="C188" i="1"/>
  <c r="A188" i="1"/>
  <c r="D187" i="1"/>
  <c r="B187" i="1"/>
  <c r="E186" i="1"/>
  <c r="C186" i="1"/>
  <c r="A186" i="1"/>
  <c r="D185" i="1"/>
  <c r="B185" i="1"/>
  <c r="E184" i="1"/>
  <c r="C184" i="1"/>
  <c r="A184" i="1"/>
  <c r="D183" i="1"/>
  <c r="B183" i="1"/>
  <c r="E182" i="1"/>
  <c r="C182" i="1"/>
  <c r="A182" i="1"/>
  <c r="D181" i="1"/>
  <c r="B181" i="1"/>
  <c r="E180" i="1"/>
  <c r="C180" i="1"/>
  <c r="A180" i="1"/>
  <c r="D179" i="1"/>
  <c r="B179" i="1"/>
  <c r="E178" i="1"/>
  <c r="C178" i="1"/>
  <c r="A178" i="1"/>
  <c r="D177" i="1"/>
  <c r="B177" i="1"/>
  <c r="E176" i="1"/>
  <c r="C176" i="1"/>
  <c r="A176" i="1"/>
  <c r="D175" i="1"/>
  <c r="B175" i="1"/>
  <c r="B218" i="1"/>
  <c r="E217" i="1"/>
  <c r="C217" i="1"/>
  <c r="A217" i="1"/>
  <c r="D216" i="1"/>
  <c r="B216" i="1"/>
  <c r="E215" i="1"/>
  <c r="C215" i="1"/>
  <c r="A215" i="1"/>
  <c r="D214" i="1"/>
  <c r="B214" i="1"/>
  <c r="E213" i="1"/>
  <c r="C213" i="1"/>
  <c r="A213" i="1"/>
  <c r="D212" i="1"/>
  <c r="B212" i="1"/>
  <c r="E211" i="1"/>
  <c r="C211" i="1"/>
  <c r="A211" i="1"/>
  <c r="D210" i="1"/>
  <c r="B210" i="1"/>
  <c r="E209" i="1"/>
  <c r="C209" i="1"/>
  <c r="A209" i="1"/>
  <c r="D208" i="1"/>
  <c r="B208" i="1"/>
  <c r="E207" i="1"/>
  <c r="C207" i="1"/>
  <c r="A207" i="1"/>
  <c r="D206" i="1"/>
  <c r="B206" i="1"/>
  <c r="E205" i="1"/>
  <c r="C205" i="1"/>
  <c r="A205" i="1"/>
  <c r="D204" i="1"/>
  <c r="B204" i="1"/>
  <c r="E203" i="1"/>
  <c r="C203" i="1"/>
  <c r="A203" i="1"/>
  <c r="D202" i="1"/>
  <c r="B202" i="1"/>
  <c r="E201" i="1"/>
  <c r="C201" i="1"/>
  <c r="A201" i="1"/>
  <c r="D200" i="1"/>
  <c r="B200" i="1"/>
  <c r="E199" i="1"/>
  <c r="C199" i="1"/>
  <c r="A199" i="1"/>
  <c r="D198" i="1"/>
  <c r="B198" i="1"/>
  <c r="E197" i="1"/>
  <c r="C197" i="1"/>
  <c r="A197" i="1"/>
  <c r="D196" i="1"/>
  <c r="B196" i="1"/>
  <c r="E195" i="1"/>
  <c r="C195" i="1"/>
  <c r="A195" i="1"/>
  <c r="D194" i="1"/>
  <c r="B194" i="1"/>
  <c r="E193" i="1"/>
  <c r="C193" i="1"/>
  <c r="A193" i="1"/>
  <c r="D192" i="1"/>
  <c r="B192" i="1"/>
  <c r="E191" i="1"/>
  <c r="C191" i="1"/>
  <c r="A191" i="1"/>
  <c r="D190" i="1"/>
  <c r="B190" i="1"/>
  <c r="E189" i="1"/>
  <c r="C189" i="1"/>
  <c r="A189" i="1"/>
  <c r="D188" i="1"/>
  <c r="B188" i="1"/>
  <c r="E187" i="1"/>
  <c r="C187" i="1"/>
  <c r="A187" i="1"/>
  <c r="D186" i="1"/>
  <c r="B186" i="1"/>
  <c r="E185" i="1"/>
  <c r="C185" i="1"/>
  <c r="A185" i="1"/>
  <c r="D184" i="1"/>
  <c r="B184" i="1"/>
  <c r="E183" i="1"/>
  <c r="C183" i="1"/>
  <c r="A183" i="1"/>
  <c r="D182" i="1"/>
  <c r="B182" i="1"/>
  <c r="E181" i="1"/>
  <c r="C181" i="1"/>
  <c r="A181" i="1"/>
  <c r="D180" i="1"/>
  <c r="B180" i="1"/>
  <c r="E179" i="1"/>
  <c r="C179" i="1"/>
  <c r="A179" i="1"/>
  <c r="D178" i="1"/>
  <c r="B178" i="1"/>
  <c r="E177" i="1"/>
  <c r="C177" i="1"/>
  <c r="A177" i="1"/>
  <c r="D176" i="1"/>
  <c r="B176" i="1"/>
  <c r="E175" i="1"/>
  <c r="C175" i="1"/>
  <c r="A175" i="1"/>
  <c r="D174" i="1"/>
  <c r="B174" i="1"/>
  <c r="E173" i="1"/>
  <c r="C173" i="1"/>
  <c r="A173" i="1"/>
  <c r="D172" i="1"/>
  <c r="B172" i="1"/>
  <c r="E171" i="1"/>
  <c r="C171" i="1"/>
  <c r="A171" i="1"/>
  <c r="D170" i="1"/>
  <c r="B170" i="1"/>
  <c r="E169" i="1"/>
  <c r="C169" i="1"/>
  <c r="A169" i="1"/>
  <c r="D168" i="1"/>
  <c r="B168" i="1"/>
  <c r="E167" i="1"/>
  <c r="E174" i="1"/>
  <c r="A174" i="1"/>
  <c r="B173" i="1"/>
  <c r="C172" i="1"/>
  <c r="D171" i="1"/>
  <c r="E170" i="1"/>
  <c r="A170" i="1"/>
  <c r="B169" i="1"/>
  <c r="C168" i="1"/>
  <c r="D167" i="1"/>
  <c r="B167" i="1"/>
  <c r="E166" i="1"/>
  <c r="C166" i="1"/>
  <c r="A166" i="1"/>
  <c r="D165" i="1"/>
  <c r="B165" i="1"/>
  <c r="E164" i="1"/>
  <c r="C164" i="1"/>
  <c r="A164" i="1"/>
  <c r="D163" i="1"/>
  <c r="B163" i="1"/>
  <c r="E162" i="1"/>
  <c r="C162" i="1"/>
  <c r="A162" i="1"/>
  <c r="D161" i="1"/>
  <c r="B161" i="1"/>
  <c r="E160" i="1"/>
  <c r="C160" i="1"/>
  <c r="A160" i="1"/>
  <c r="D159" i="1"/>
  <c r="B159" i="1"/>
  <c r="E158" i="1"/>
  <c r="C158" i="1"/>
  <c r="A158" i="1"/>
  <c r="D157" i="1"/>
  <c r="B157" i="1"/>
  <c r="E156" i="1"/>
  <c r="C156" i="1"/>
  <c r="A156" i="1"/>
  <c r="D155" i="1"/>
  <c r="B155" i="1"/>
  <c r="E154" i="1"/>
  <c r="C154" i="1"/>
  <c r="A154" i="1"/>
  <c r="D153" i="1"/>
  <c r="B153" i="1"/>
  <c r="E152" i="1"/>
  <c r="C152" i="1"/>
  <c r="A152" i="1"/>
  <c r="D151" i="1"/>
  <c r="B151" i="1"/>
  <c r="E150" i="1"/>
  <c r="C150" i="1"/>
  <c r="A150" i="1"/>
  <c r="D149" i="1"/>
  <c r="B149" i="1"/>
  <c r="E148" i="1"/>
  <c r="C148" i="1"/>
  <c r="A148" i="1"/>
  <c r="D147" i="1"/>
  <c r="B147" i="1"/>
  <c r="E146" i="1"/>
  <c r="C146" i="1"/>
  <c r="A146" i="1"/>
  <c r="D145" i="1"/>
  <c r="B145" i="1"/>
  <c r="E144" i="1"/>
  <c r="C144" i="1"/>
  <c r="A144" i="1"/>
  <c r="D143" i="1"/>
  <c r="B143" i="1"/>
  <c r="E142" i="1"/>
  <c r="C142" i="1"/>
  <c r="A142" i="1"/>
  <c r="D141" i="1"/>
  <c r="B141" i="1"/>
  <c r="E140" i="1"/>
  <c r="C140" i="1"/>
  <c r="A140" i="1"/>
  <c r="D139" i="1"/>
  <c r="B139" i="1"/>
  <c r="E138" i="1"/>
  <c r="C138" i="1"/>
  <c r="A138" i="1"/>
  <c r="D137" i="1"/>
  <c r="B137" i="1"/>
  <c r="E136" i="1"/>
  <c r="C136" i="1"/>
  <c r="A136" i="1"/>
  <c r="D135" i="1"/>
  <c r="B135" i="1"/>
  <c r="E134" i="1"/>
  <c r="C134" i="1"/>
  <c r="A134" i="1"/>
  <c r="D133" i="1"/>
  <c r="B133" i="1"/>
  <c r="E132" i="1"/>
  <c r="C132" i="1"/>
  <c r="A132" i="1"/>
  <c r="D131" i="1"/>
  <c r="B131" i="1"/>
  <c r="E130" i="1"/>
  <c r="C130" i="1"/>
  <c r="A130" i="1"/>
  <c r="D129" i="1"/>
  <c r="B129" i="1"/>
  <c r="E128" i="1"/>
  <c r="C128" i="1"/>
  <c r="A128" i="1"/>
  <c r="D127" i="1"/>
  <c r="B127" i="1"/>
  <c r="E126" i="1"/>
  <c r="C126" i="1"/>
  <c r="A126" i="1"/>
  <c r="D125" i="1"/>
  <c r="B125" i="1"/>
  <c r="E124" i="1"/>
  <c r="C124" i="1"/>
  <c r="A124" i="1"/>
  <c r="D123" i="1"/>
  <c r="B123" i="1"/>
  <c r="E122" i="1"/>
  <c r="C122" i="1"/>
  <c r="A122" i="1"/>
  <c r="D121" i="1"/>
  <c r="B121" i="1"/>
  <c r="E120" i="1"/>
  <c r="C120" i="1"/>
  <c r="A120" i="1"/>
  <c r="D119" i="1"/>
  <c r="B119" i="1"/>
  <c r="E118" i="1"/>
  <c r="C118" i="1"/>
  <c r="A118" i="1"/>
  <c r="D117" i="1"/>
  <c r="B117" i="1"/>
  <c r="E116" i="1"/>
  <c r="C116" i="1"/>
  <c r="A116" i="1"/>
  <c r="D115" i="1"/>
  <c r="B115" i="1"/>
  <c r="E114" i="1"/>
  <c r="C114" i="1"/>
  <c r="A114" i="1"/>
  <c r="D113" i="1"/>
  <c r="B113" i="1"/>
  <c r="E112" i="1"/>
  <c r="C112" i="1"/>
  <c r="A112" i="1"/>
  <c r="D111" i="1"/>
  <c r="B111" i="1"/>
  <c r="E110" i="1"/>
  <c r="C110" i="1"/>
  <c r="A110" i="1"/>
  <c r="D109" i="1"/>
  <c r="B109" i="1"/>
  <c r="E108" i="1"/>
  <c r="C108" i="1"/>
  <c r="A108" i="1"/>
  <c r="D107" i="1"/>
  <c r="B107" i="1"/>
  <c r="E106" i="1"/>
  <c r="C106" i="1"/>
  <c r="A106" i="1"/>
  <c r="D105" i="1"/>
  <c r="B105" i="1"/>
  <c r="E104" i="1"/>
  <c r="C104" i="1"/>
  <c r="A104" i="1"/>
  <c r="D103" i="1"/>
  <c r="B103" i="1"/>
  <c r="E102" i="1"/>
  <c r="C102" i="1"/>
  <c r="A102" i="1"/>
  <c r="D101" i="1"/>
  <c r="B101" i="1"/>
  <c r="E100" i="1"/>
  <c r="C100" i="1"/>
  <c r="A100" i="1"/>
  <c r="D99" i="1"/>
  <c r="B99" i="1"/>
  <c r="E98" i="1"/>
  <c r="C98" i="1"/>
  <c r="A98" i="1"/>
  <c r="D97" i="1"/>
  <c r="B97" i="1"/>
  <c r="E96" i="1"/>
  <c r="C96" i="1"/>
  <c r="A96" i="1"/>
  <c r="D95" i="1"/>
  <c r="B95" i="1"/>
  <c r="E94" i="1"/>
  <c r="C94" i="1"/>
  <c r="A94" i="1"/>
  <c r="D93" i="1"/>
  <c r="B93" i="1"/>
  <c r="E92" i="1"/>
  <c r="C92" i="1"/>
  <c r="A92" i="1"/>
  <c r="D91" i="1"/>
  <c r="B91" i="1"/>
  <c r="E90" i="1"/>
  <c r="C90" i="1"/>
  <c r="A90" i="1"/>
  <c r="D89" i="1"/>
  <c r="B89" i="1"/>
  <c r="E88" i="1"/>
  <c r="C88" i="1"/>
  <c r="A88" i="1"/>
  <c r="D87" i="1"/>
  <c r="B87" i="1"/>
  <c r="E86" i="1"/>
  <c r="C86" i="1"/>
  <c r="A86" i="1"/>
  <c r="D85" i="1"/>
  <c r="B85" i="1"/>
  <c r="E84" i="1"/>
  <c r="C84" i="1"/>
  <c r="A84" i="1"/>
  <c r="D83" i="1"/>
  <c r="B83" i="1"/>
  <c r="E82" i="1"/>
  <c r="C82" i="1"/>
  <c r="A82" i="1"/>
  <c r="D81" i="1"/>
  <c r="B81" i="1"/>
  <c r="E80" i="1"/>
  <c r="C80" i="1"/>
  <c r="A80" i="1"/>
  <c r="D79" i="1"/>
  <c r="B79" i="1"/>
  <c r="E78" i="1"/>
  <c r="C78" i="1"/>
  <c r="A78" i="1"/>
  <c r="D77" i="1"/>
  <c r="B77" i="1"/>
  <c r="E76" i="1"/>
  <c r="C76" i="1"/>
  <c r="A76" i="1"/>
  <c r="D75" i="1"/>
  <c r="B75" i="1"/>
  <c r="E74" i="1"/>
  <c r="C74" i="1"/>
  <c r="A74" i="1"/>
  <c r="D73" i="1"/>
  <c r="B73" i="1"/>
  <c r="E72" i="1"/>
  <c r="C72" i="1"/>
  <c r="A72" i="1"/>
  <c r="D71" i="1"/>
  <c r="B71" i="1"/>
  <c r="E70" i="1"/>
  <c r="C70" i="1"/>
  <c r="A70" i="1"/>
  <c r="D69" i="1"/>
  <c r="C174" i="1"/>
  <c r="D173" i="1"/>
  <c r="E172" i="1"/>
  <c r="A172" i="1"/>
  <c r="B171" i="1"/>
  <c r="C170" i="1"/>
  <c r="D169" i="1"/>
  <c r="E168" i="1"/>
  <c r="A168" i="1"/>
  <c r="C167" i="1"/>
  <c r="A167" i="1"/>
  <c r="D166" i="1"/>
  <c r="B166" i="1"/>
  <c r="E165" i="1"/>
  <c r="C165" i="1"/>
  <c r="A165" i="1"/>
  <c r="D164" i="1"/>
  <c r="B164" i="1"/>
  <c r="E163" i="1"/>
  <c r="C163" i="1"/>
  <c r="A163" i="1"/>
  <c r="D162" i="1"/>
  <c r="B162" i="1"/>
  <c r="E161" i="1"/>
  <c r="C161" i="1"/>
  <c r="A161" i="1"/>
  <c r="D160" i="1"/>
  <c r="B160" i="1"/>
  <c r="E159" i="1"/>
  <c r="C159" i="1"/>
  <c r="A159" i="1"/>
  <c r="D158" i="1"/>
  <c r="B158" i="1"/>
  <c r="E157" i="1"/>
  <c r="C157" i="1"/>
  <c r="A157" i="1"/>
  <c r="D156" i="1"/>
  <c r="B156" i="1"/>
  <c r="E155" i="1"/>
  <c r="C155" i="1"/>
  <c r="A155" i="1"/>
  <c r="D154" i="1"/>
  <c r="B154" i="1"/>
  <c r="E153" i="1"/>
  <c r="C153" i="1"/>
  <c r="A153" i="1"/>
  <c r="D152" i="1"/>
  <c r="B152" i="1"/>
  <c r="E151" i="1"/>
  <c r="C151" i="1"/>
  <c r="A151" i="1"/>
  <c r="D150" i="1"/>
  <c r="B150" i="1"/>
  <c r="E149" i="1"/>
  <c r="C149" i="1"/>
  <c r="A149" i="1"/>
  <c r="D148" i="1"/>
  <c r="B148" i="1"/>
  <c r="E147" i="1"/>
  <c r="C147" i="1"/>
  <c r="A147" i="1"/>
  <c r="D146" i="1"/>
  <c r="B146" i="1"/>
  <c r="E145" i="1"/>
  <c r="C145" i="1"/>
  <c r="A145" i="1"/>
  <c r="D144" i="1"/>
  <c r="B144" i="1"/>
  <c r="E143" i="1"/>
  <c r="C143" i="1"/>
  <c r="A143" i="1"/>
  <c r="D142" i="1"/>
  <c r="B142" i="1"/>
  <c r="E141" i="1"/>
  <c r="C141" i="1"/>
  <c r="A141" i="1"/>
  <c r="D140" i="1"/>
  <c r="B140" i="1"/>
  <c r="E139" i="1"/>
  <c r="C139" i="1"/>
  <c r="A139" i="1"/>
  <c r="D138" i="1"/>
  <c r="B138" i="1"/>
  <c r="E137" i="1"/>
  <c r="C137" i="1"/>
  <c r="A137" i="1"/>
  <c r="D136" i="1"/>
  <c r="B136" i="1"/>
  <c r="E135" i="1"/>
  <c r="C135" i="1"/>
  <c r="A135" i="1"/>
  <c r="D134" i="1"/>
  <c r="B134" i="1"/>
  <c r="E133" i="1"/>
  <c r="C133" i="1"/>
  <c r="A133" i="1"/>
  <c r="D132" i="1"/>
  <c r="B132" i="1"/>
  <c r="E131" i="1"/>
  <c r="C131" i="1"/>
  <c r="A131" i="1"/>
  <c r="D130" i="1"/>
  <c r="B130" i="1"/>
  <c r="E129" i="1"/>
  <c r="C129" i="1"/>
  <c r="A129" i="1"/>
  <c r="D128" i="1"/>
  <c r="B128" i="1"/>
  <c r="E127" i="1"/>
  <c r="C127" i="1"/>
  <c r="A127" i="1"/>
  <c r="D126" i="1"/>
  <c r="B126" i="1"/>
  <c r="E125" i="1"/>
  <c r="C125" i="1"/>
  <c r="A125" i="1"/>
  <c r="D124" i="1"/>
  <c r="B124" i="1"/>
  <c r="E123" i="1"/>
  <c r="C123" i="1"/>
  <c r="A123" i="1"/>
  <c r="D122" i="1"/>
  <c r="B122" i="1"/>
  <c r="E121" i="1"/>
  <c r="C121" i="1"/>
  <c r="A121" i="1"/>
  <c r="D120" i="1"/>
  <c r="B120" i="1"/>
  <c r="E119" i="1"/>
  <c r="C119" i="1"/>
  <c r="A119" i="1"/>
  <c r="D118" i="1"/>
  <c r="B118" i="1"/>
  <c r="E117" i="1"/>
  <c r="C117" i="1"/>
  <c r="A117" i="1"/>
  <c r="D116" i="1"/>
  <c r="B116" i="1"/>
  <c r="E115" i="1"/>
  <c r="C115" i="1"/>
  <c r="A115" i="1"/>
  <c r="D114" i="1"/>
  <c r="B114" i="1"/>
  <c r="E113" i="1"/>
  <c r="C113" i="1"/>
  <c r="A113" i="1"/>
  <c r="D112" i="1"/>
  <c r="B112" i="1"/>
  <c r="E111" i="1"/>
  <c r="C111" i="1"/>
  <c r="A111" i="1"/>
  <c r="D110" i="1"/>
  <c r="B110" i="1"/>
  <c r="E109" i="1"/>
  <c r="C109" i="1"/>
  <c r="A109" i="1"/>
  <c r="D108" i="1"/>
  <c r="B108" i="1"/>
  <c r="E107" i="1"/>
  <c r="C107" i="1"/>
  <c r="A107" i="1"/>
  <c r="D106" i="1"/>
  <c r="B106" i="1"/>
  <c r="E105" i="1"/>
  <c r="C105" i="1"/>
  <c r="A105" i="1"/>
  <c r="D104" i="1"/>
  <c r="B104" i="1"/>
  <c r="E103" i="1"/>
  <c r="C103" i="1"/>
  <c r="A103" i="1"/>
  <c r="D102" i="1"/>
  <c r="B102" i="1"/>
  <c r="E101" i="1"/>
  <c r="C101" i="1"/>
  <c r="A101" i="1"/>
  <c r="D100" i="1"/>
  <c r="B100" i="1"/>
  <c r="E99" i="1"/>
  <c r="C99" i="1"/>
  <c r="A99" i="1"/>
  <c r="D98" i="1"/>
  <c r="B98" i="1"/>
  <c r="E97" i="1"/>
  <c r="C97" i="1"/>
  <c r="A97" i="1"/>
  <c r="D96" i="1"/>
  <c r="B96" i="1"/>
  <c r="E95" i="1"/>
  <c r="C95" i="1"/>
  <c r="A95" i="1"/>
  <c r="D94" i="1"/>
  <c r="B94" i="1"/>
  <c r="E93" i="1"/>
  <c r="C93" i="1"/>
  <c r="A93" i="1"/>
  <c r="D92" i="1"/>
  <c r="B92" i="1"/>
  <c r="E91" i="1"/>
  <c r="C91" i="1"/>
  <c r="A91" i="1"/>
  <c r="D90" i="1"/>
  <c r="B90" i="1"/>
  <c r="E89" i="1"/>
  <c r="C89" i="1"/>
  <c r="A89" i="1"/>
  <c r="D88" i="1"/>
  <c r="B88" i="1"/>
  <c r="E87" i="1"/>
  <c r="C87" i="1"/>
  <c r="A87" i="1"/>
  <c r="D86" i="1"/>
  <c r="B86" i="1"/>
  <c r="E85" i="1"/>
  <c r="C85" i="1"/>
  <c r="A85" i="1"/>
  <c r="D84" i="1"/>
  <c r="B84" i="1"/>
  <c r="E83" i="1"/>
  <c r="C83" i="1"/>
  <c r="A83" i="1"/>
  <c r="D82" i="1"/>
  <c r="B82" i="1"/>
  <c r="E81" i="1"/>
  <c r="C81" i="1"/>
  <c r="A81" i="1"/>
  <c r="D80" i="1"/>
  <c r="B80" i="1"/>
  <c r="E79" i="1"/>
  <c r="C79" i="1"/>
  <c r="A79" i="1"/>
  <c r="D78" i="1"/>
  <c r="B78" i="1"/>
  <c r="E77" i="1"/>
  <c r="C77" i="1"/>
  <c r="A77" i="1"/>
  <c r="D76" i="1"/>
  <c r="B76" i="1"/>
  <c r="E75" i="1"/>
  <c r="C75" i="1"/>
  <c r="A75" i="1"/>
  <c r="D74" i="1"/>
  <c r="B74" i="1"/>
  <c r="E73" i="1"/>
  <c r="C73" i="1"/>
  <c r="A73" i="1"/>
  <c r="D72" i="1"/>
  <c r="B72" i="1"/>
  <c r="E71" i="1"/>
  <c r="C71" i="1"/>
  <c r="A71" i="1"/>
  <c r="D70" i="1"/>
  <c r="B70" i="1"/>
  <c r="E69" i="1"/>
  <c r="C69" i="1"/>
  <c r="A69" i="1"/>
  <c r="D68" i="1"/>
  <c r="B68" i="1"/>
  <c r="E67" i="1"/>
  <c r="C67" i="1"/>
  <c r="A67" i="1"/>
  <c r="D66" i="1"/>
  <c r="B66" i="1"/>
  <c r="E65" i="1"/>
  <c r="C65" i="1"/>
  <c r="A65" i="1"/>
  <c r="D64" i="1"/>
  <c r="B64" i="1"/>
  <c r="E63" i="1"/>
  <c r="C63" i="1"/>
  <c r="A63" i="1"/>
  <c r="D62" i="1"/>
  <c r="B62" i="1"/>
  <c r="E61" i="1"/>
  <c r="C61" i="1"/>
  <c r="A61" i="1"/>
  <c r="D60" i="1"/>
  <c r="B60" i="1"/>
  <c r="E59" i="1"/>
  <c r="C59" i="1"/>
  <c r="A59" i="1"/>
  <c r="D58" i="1"/>
  <c r="B58" i="1"/>
  <c r="E57" i="1"/>
  <c r="C57" i="1"/>
  <c r="A57" i="1"/>
  <c r="D56" i="1"/>
  <c r="B56" i="1"/>
  <c r="E55" i="1"/>
  <c r="C55" i="1"/>
  <c r="A55" i="1"/>
  <c r="D54" i="1"/>
  <c r="B54" i="1"/>
  <c r="E53" i="1"/>
  <c r="C53" i="1"/>
  <c r="A53" i="1"/>
  <c r="D52" i="1"/>
  <c r="B52" i="1"/>
  <c r="E51" i="1"/>
  <c r="C51" i="1"/>
  <c r="A51" i="1"/>
  <c r="D50" i="1"/>
  <c r="B50" i="1"/>
  <c r="E49" i="1"/>
  <c r="C49" i="1"/>
  <c r="A49" i="1"/>
  <c r="D48" i="1"/>
  <c r="B48" i="1"/>
  <c r="E47" i="1"/>
  <c r="C47" i="1"/>
  <c r="A47" i="1"/>
  <c r="D46" i="1"/>
  <c r="B46" i="1"/>
  <c r="E45" i="1"/>
  <c r="C45" i="1"/>
  <c r="A45" i="1"/>
  <c r="D44" i="1"/>
  <c r="B44" i="1"/>
  <c r="E43" i="1"/>
  <c r="C43" i="1"/>
  <c r="A43" i="1"/>
  <c r="D42" i="1"/>
  <c r="B42" i="1"/>
  <c r="E41" i="1"/>
  <c r="C41" i="1"/>
  <c r="A41" i="1"/>
  <c r="D40" i="1"/>
  <c r="B40" i="1"/>
  <c r="E39" i="1"/>
  <c r="C39" i="1"/>
  <c r="A39" i="1"/>
  <c r="D38" i="1"/>
  <c r="B38" i="1"/>
  <c r="E37" i="1"/>
  <c r="C37" i="1"/>
  <c r="A37" i="1"/>
  <c r="D36" i="1"/>
  <c r="B36" i="1"/>
  <c r="E35" i="1"/>
  <c r="C35" i="1"/>
  <c r="A35" i="1"/>
  <c r="D34" i="1"/>
  <c r="B34" i="1"/>
  <c r="E33" i="1"/>
  <c r="C33" i="1"/>
  <c r="A33" i="1"/>
  <c r="D32" i="1"/>
  <c r="B32" i="1"/>
  <c r="E31" i="1"/>
  <c r="C31" i="1"/>
  <c r="A31" i="1"/>
  <c r="D30" i="1"/>
  <c r="B30" i="1"/>
  <c r="E29" i="1"/>
  <c r="C29" i="1"/>
  <c r="A29" i="1"/>
  <c r="D28" i="1"/>
  <c r="B28" i="1"/>
  <c r="E27" i="1"/>
  <c r="C27" i="1"/>
  <c r="A27" i="1"/>
  <c r="D26" i="1"/>
  <c r="B26" i="1"/>
  <c r="E25" i="1"/>
  <c r="C25" i="1"/>
  <c r="A25" i="1"/>
  <c r="D24" i="1"/>
  <c r="B24" i="1"/>
  <c r="E23" i="1"/>
  <c r="C23" i="1"/>
  <c r="A23" i="1"/>
  <c r="D22" i="1"/>
  <c r="B22" i="1"/>
  <c r="E21" i="1"/>
  <c r="C21" i="1"/>
  <c r="A21" i="1"/>
  <c r="D20" i="1"/>
  <c r="B20" i="1"/>
  <c r="E19" i="1"/>
  <c r="C19" i="1"/>
  <c r="A19" i="1"/>
  <c r="D18" i="1"/>
  <c r="B18" i="1"/>
  <c r="E17" i="1"/>
  <c r="C17" i="1"/>
  <c r="A17" i="1"/>
  <c r="D16" i="1"/>
  <c r="B16" i="1"/>
  <c r="E15" i="1"/>
  <c r="C15" i="1"/>
  <c r="A15" i="1"/>
  <c r="D14" i="1"/>
  <c r="B14" i="1"/>
  <c r="E13" i="1"/>
  <c r="C13" i="1"/>
  <c r="A13" i="1"/>
  <c r="D12" i="1"/>
  <c r="B12" i="1"/>
  <c r="E11" i="1"/>
  <c r="C11" i="1"/>
  <c r="A11" i="1"/>
  <c r="D10" i="1"/>
  <c r="B10" i="1"/>
  <c r="E9" i="1"/>
  <c r="C9" i="1"/>
  <c r="A9" i="1"/>
  <c r="D8" i="1"/>
  <c r="B8" i="1"/>
  <c r="E7" i="1"/>
  <c r="C7" i="1"/>
  <c r="A7" i="1"/>
  <c r="D6" i="1"/>
  <c r="B6" i="1"/>
  <c r="E5" i="1"/>
  <c r="C5" i="1"/>
  <c r="D4" i="1"/>
  <c r="B4" i="1"/>
  <c r="B69" i="1"/>
  <c r="E68" i="1"/>
  <c r="C68" i="1"/>
  <c r="A68" i="1"/>
  <c r="D67" i="1"/>
  <c r="B67" i="1"/>
  <c r="E66" i="1"/>
  <c r="C66" i="1"/>
  <c r="A66" i="1"/>
  <c r="D65" i="1"/>
  <c r="B65" i="1"/>
  <c r="E64" i="1"/>
  <c r="C64" i="1"/>
  <c r="A64" i="1"/>
  <c r="D63" i="1"/>
  <c r="B63" i="1"/>
  <c r="E62" i="1"/>
  <c r="C62" i="1"/>
  <c r="A62" i="1"/>
  <c r="D61" i="1"/>
  <c r="B61" i="1"/>
  <c r="E60" i="1"/>
  <c r="C60" i="1"/>
  <c r="A60" i="1"/>
  <c r="D59" i="1"/>
  <c r="B59" i="1"/>
  <c r="E58" i="1"/>
  <c r="C58" i="1"/>
  <c r="A58" i="1"/>
  <c r="D57" i="1"/>
  <c r="B57" i="1"/>
  <c r="E56" i="1"/>
  <c r="C56" i="1"/>
  <c r="A56" i="1"/>
  <c r="D55" i="1"/>
  <c r="B55" i="1"/>
  <c r="E54" i="1"/>
  <c r="C54" i="1"/>
  <c r="A54" i="1"/>
  <c r="D53" i="1"/>
  <c r="B53" i="1"/>
  <c r="E52" i="1"/>
  <c r="C52" i="1"/>
  <c r="A52" i="1"/>
  <c r="D51" i="1"/>
  <c r="B51" i="1"/>
  <c r="E50" i="1"/>
  <c r="C50" i="1"/>
  <c r="A50" i="1"/>
  <c r="D49" i="1"/>
  <c r="B49" i="1"/>
  <c r="E48" i="1"/>
  <c r="C48" i="1"/>
  <c r="A48" i="1"/>
  <c r="D47" i="1"/>
  <c r="B47" i="1"/>
  <c r="E46" i="1"/>
  <c r="C46" i="1"/>
  <c r="A46" i="1"/>
  <c r="D45" i="1"/>
  <c r="B45" i="1"/>
  <c r="E44" i="1"/>
  <c r="C44" i="1"/>
  <c r="A44" i="1"/>
  <c r="D43" i="1"/>
  <c r="B43" i="1"/>
  <c r="E42" i="1"/>
  <c r="C42" i="1"/>
  <c r="A42" i="1"/>
  <c r="D41" i="1"/>
  <c r="B41" i="1"/>
  <c r="E40" i="1"/>
  <c r="C40" i="1"/>
  <c r="A40" i="1"/>
  <c r="D39" i="1"/>
  <c r="B39" i="1"/>
  <c r="E38" i="1"/>
  <c r="C38" i="1"/>
  <c r="A38" i="1"/>
  <c r="D37" i="1"/>
  <c r="B37" i="1"/>
  <c r="E36" i="1"/>
  <c r="C36" i="1"/>
  <c r="A36" i="1"/>
  <c r="D35" i="1"/>
  <c r="B35" i="1"/>
  <c r="E34" i="1"/>
  <c r="C34" i="1"/>
  <c r="A34" i="1"/>
  <c r="D33" i="1"/>
  <c r="B33" i="1"/>
  <c r="E32" i="1"/>
  <c r="C32" i="1"/>
  <c r="A32" i="1"/>
  <c r="D31" i="1"/>
  <c r="B31" i="1"/>
  <c r="E30" i="1"/>
  <c r="C30" i="1"/>
  <c r="A30" i="1"/>
  <c r="D29" i="1"/>
  <c r="B29" i="1"/>
  <c r="E28" i="1"/>
  <c r="C28" i="1"/>
  <c r="A28" i="1"/>
  <c r="D27" i="1"/>
  <c r="B27" i="1"/>
  <c r="E26" i="1"/>
  <c r="C26" i="1"/>
  <c r="A26" i="1"/>
  <c r="D25" i="1"/>
  <c r="B25" i="1"/>
  <c r="E24" i="1"/>
  <c r="C24" i="1"/>
  <c r="A24" i="1"/>
  <c r="D23" i="1"/>
  <c r="B23" i="1"/>
  <c r="E22" i="1"/>
  <c r="C22" i="1"/>
  <c r="A22" i="1"/>
  <c r="D21" i="1"/>
  <c r="B21" i="1"/>
  <c r="E20" i="1"/>
  <c r="C20" i="1"/>
  <c r="A20" i="1"/>
  <c r="D19" i="1"/>
  <c r="B19" i="1"/>
  <c r="E18" i="1"/>
  <c r="C18" i="1"/>
  <c r="A18" i="1"/>
  <c r="D17" i="1"/>
  <c r="B17" i="1"/>
  <c r="E16" i="1"/>
  <c r="C16" i="1"/>
  <c r="A16" i="1"/>
  <c r="D15" i="1"/>
  <c r="B15" i="1"/>
  <c r="E14" i="1"/>
  <c r="C14" i="1"/>
  <c r="A14" i="1"/>
  <c r="D13" i="1"/>
  <c r="B13" i="1"/>
  <c r="E12" i="1"/>
  <c r="C12" i="1"/>
  <c r="A12" i="1"/>
  <c r="D11" i="1"/>
  <c r="B11" i="1"/>
  <c r="E10" i="1"/>
  <c r="C10" i="1"/>
  <c r="A10" i="1"/>
  <c r="D9" i="1"/>
  <c r="B9" i="1"/>
  <c r="E8" i="1"/>
  <c r="C8" i="1"/>
  <c r="A8" i="1"/>
  <c r="D7" i="1"/>
  <c r="B7" i="1"/>
  <c r="E6" i="1"/>
  <c r="C6" i="1"/>
  <c r="A6" i="1"/>
  <c r="D5" i="1"/>
  <c r="B5" i="1"/>
  <c r="E4" i="1"/>
  <c r="C4" i="1"/>
</calcChain>
</file>

<file path=xl/sharedStrings.xml><?xml version="1.0" encoding="utf-8"?>
<sst xmlns="http://schemas.openxmlformats.org/spreadsheetml/2006/main" count="6" uniqueCount="6">
  <si>
    <t>Date</t>
  </si>
  <si>
    <t>Open</t>
  </si>
  <si>
    <t>High</t>
  </si>
  <si>
    <t>Low</t>
  </si>
  <si>
    <t>Close</t>
  </si>
  <si>
    <t>AUDCAD a0-fx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</si>
</sst>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dd/mm/yyyy\ h:mm:ss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2" fillId="0" borderId="0" xfId="1" applyNumberFormat="1" applyFont="1" applyFill="1" applyAlignment="1" applyProtection="1">
      <alignment horizontal="left" vertical="center"/>
      <protection hidden="1"/>
    </xf>
    <xf numFmtId="165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164" fontId="2" fillId="0" borderId="0" xfId="1" quotePrefix="1" applyNumberFormat="1" applyFont="1" applyFill="1" applyAlignment="1" applyProtection="1">
      <alignment horizontal="left" vertical="center"/>
      <protection hidden="1"/>
    </xf>
    <xf numFmtId="164" fontId="2" fillId="0" borderId="0" xfId="1" applyNumberFormat="1" applyFont="1" applyFill="1" applyAlignment="1" applyProtection="1">
      <alignment horizontal="center" vertical="center"/>
      <protection hidden="1"/>
    </xf>
    <xf numFmtId="164" fontId="2" fillId="0" borderId="0" xfId="1" applyNumberFormat="1" applyFont="1" applyFill="1" applyAlignment="1" applyProtection="1">
      <alignment horizontal="center" vertical="center"/>
      <protection locked="0"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locked="0"/>
    </xf>
    <xf numFmtId="165" fontId="3" fillId="0" borderId="4" xfId="1" applyNumberFormat="1" applyFont="1" applyFill="1" applyBorder="1" applyAlignment="1" applyProtection="1">
      <alignment horizontal="center" vertical="center"/>
      <protection locked="0"/>
    </xf>
    <xf numFmtId="166" fontId="3" fillId="0" borderId="0" xfId="1" applyNumberFormat="1" applyFont="1" applyFill="1" applyAlignment="1" applyProtection="1">
      <alignment horizontal="center" vertical="center"/>
      <protection locked="0"/>
    </xf>
    <xf numFmtId="165" fontId="3" fillId="0" borderId="0" xfId="1" applyNumberFormat="1" applyFont="1" applyFill="1" applyAlignment="1" applyProtection="1">
      <alignment horizontal="center" vertical="center"/>
      <protection locked="0"/>
    </xf>
    <xf numFmtId="166" fontId="3" fillId="0" borderId="0" xfId="0" applyNumberFormat="1" applyFont="1" applyFill="1" applyBorder="1" applyAlignment="1" applyProtection="1">
      <alignment wrapText="1"/>
      <protection locked="0"/>
    </xf>
    <xf numFmtId="165" fontId="3" fillId="0" borderId="0" xfId="1" applyNumberFormat="1" applyFont="1" applyFill="1" applyBorder="1" applyAlignment="1" applyProtection="1">
      <alignment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esrtd">
      <tp t="s">
        <v/>
        <stp/>
        <stp>*H</stp>
        <stp>AUDCAD a0-fx</stp>
        <stp>Open</stp>
        <stp>D</stp>
        <stp/>
        <stp>190</stp>
        <tr r="B194" s="1"/>
      </tp>
      <tp t="s">
        <v/>
        <stp/>
        <stp>*H</stp>
        <stp>AUDCAD a0-fx</stp>
        <stp>Open</stp>
        <stp>D</stp>
        <stp/>
        <stp>191</stp>
        <tr r="B195" s="1"/>
      </tp>
      <tp t="s">
        <v/>
        <stp/>
        <stp>*H</stp>
        <stp>AUDCAD a0-fx</stp>
        <stp>Open</stp>
        <stp>D</stp>
        <stp/>
        <stp>192</stp>
        <tr r="B196" s="1"/>
      </tp>
      <tp t="s">
        <v/>
        <stp/>
        <stp>*H</stp>
        <stp>AUDCAD a0-fx</stp>
        <stp>Open</stp>
        <stp>D</stp>
        <stp/>
        <stp>193</stp>
        <tr r="B197" s="1"/>
      </tp>
      <tp t="s">
        <v/>
        <stp/>
        <stp>*H</stp>
        <stp>AUDCAD a0-fx</stp>
        <stp>Open</stp>
        <stp>D</stp>
        <stp/>
        <stp>194</stp>
        <tr r="B198" s="1"/>
      </tp>
      <tp t="s">
        <v/>
        <stp/>
        <stp>*H</stp>
        <stp>AUDCAD a0-fx</stp>
        <stp>Open</stp>
        <stp>D</stp>
        <stp/>
        <stp>195</stp>
        <tr r="B199" s="1"/>
      </tp>
      <tp t="s">
        <v/>
        <stp/>
        <stp>*H</stp>
        <stp>AUDCAD a0-fx</stp>
        <stp>Open</stp>
        <stp>D</stp>
        <stp/>
        <stp>196</stp>
        <tr r="B200" s="1"/>
      </tp>
      <tp t="s">
        <v/>
        <stp/>
        <stp>*H</stp>
        <stp>AUDCAD a0-fx</stp>
        <stp>Open</stp>
        <stp>D</stp>
        <stp/>
        <stp>197</stp>
        <tr r="B201" s="1"/>
      </tp>
      <tp t="s">
        <v/>
        <stp/>
        <stp>*H</stp>
        <stp>AUDCAD a0-fx</stp>
        <stp>Open</stp>
        <stp>D</stp>
        <stp/>
        <stp>198</stp>
        <tr r="B202" s="1"/>
      </tp>
      <tp t="s">
        <v/>
        <stp/>
        <stp>*H</stp>
        <stp>AUDCAD a0-fx</stp>
        <stp>Open</stp>
        <stp>D</stp>
        <stp/>
        <stp>199</stp>
        <tr r="B203" s="1"/>
      </tp>
      <tp t="s">
        <v/>
        <stp/>
        <stp>*H</stp>
        <stp>AUDCAD a0-fx</stp>
        <stp>Open</stp>
        <stp>D</stp>
        <stp/>
        <stp>180</stp>
        <tr r="B184" s="1"/>
      </tp>
      <tp t="s">
        <v/>
        <stp/>
        <stp>*H</stp>
        <stp>AUDCAD a0-fx</stp>
        <stp>Open</stp>
        <stp>D</stp>
        <stp/>
        <stp>181</stp>
        <tr r="B185" s="1"/>
      </tp>
      <tp t="s">
        <v/>
        <stp/>
        <stp>*H</stp>
        <stp>AUDCAD a0-fx</stp>
        <stp>Open</stp>
        <stp>D</stp>
        <stp/>
        <stp>182</stp>
        <tr r="B186" s="1"/>
      </tp>
      <tp t="s">
        <v/>
        <stp/>
        <stp>*H</stp>
        <stp>AUDCAD a0-fx</stp>
        <stp>Open</stp>
        <stp>D</stp>
        <stp/>
        <stp>183</stp>
        <tr r="B187" s="1"/>
      </tp>
      <tp t="s">
        <v/>
        <stp/>
        <stp>*H</stp>
        <stp>AUDCAD a0-fx</stp>
        <stp>Open</stp>
        <stp>D</stp>
        <stp/>
        <stp>184</stp>
        <tr r="B188" s="1"/>
      </tp>
      <tp t="s">
        <v/>
        <stp/>
        <stp>*H</stp>
        <stp>AUDCAD a0-fx</stp>
        <stp>Open</stp>
        <stp>D</stp>
        <stp/>
        <stp>185</stp>
        <tr r="B189" s="1"/>
      </tp>
      <tp t="s">
        <v/>
        <stp/>
        <stp>*H</stp>
        <stp>AUDCAD a0-fx</stp>
        <stp>Open</stp>
        <stp>D</stp>
        <stp/>
        <stp>186</stp>
        <tr r="B190" s="1"/>
      </tp>
      <tp t="s">
        <v/>
        <stp/>
        <stp>*H</stp>
        <stp>AUDCAD a0-fx</stp>
        <stp>Open</stp>
        <stp>D</stp>
        <stp/>
        <stp>187</stp>
        <tr r="B191" s="1"/>
      </tp>
      <tp t="s">
        <v/>
        <stp/>
        <stp>*H</stp>
        <stp>AUDCAD a0-fx</stp>
        <stp>Open</stp>
        <stp>D</stp>
        <stp/>
        <stp>188</stp>
        <tr r="B192" s="1"/>
      </tp>
      <tp t="s">
        <v/>
        <stp/>
        <stp>*H</stp>
        <stp>AUDCAD a0-fx</stp>
        <stp>Open</stp>
        <stp>D</stp>
        <stp/>
        <stp>189</stp>
        <tr r="B193" s="1"/>
      </tp>
      <tp t="s">
        <v/>
        <stp/>
        <stp>*H</stp>
        <stp>AUDCAD a0-fx</stp>
        <stp>Open</stp>
        <stp>D</stp>
        <stp/>
        <stp>170</stp>
        <tr r="B174" s="1"/>
      </tp>
      <tp t="s">
        <v/>
        <stp/>
        <stp>*H</stp>
        <stp>AUDCAD a0-fx</stp>
        <stp>Open</stp>
        <stp>D</stp>
        <stp/>
        <stp>171</stp>
        <tr r="B175" s="1"/>
      </tp>
      <tp t="s">
        <v/>
        <stp/>
        <stp>*H</stp>
        <stp>AUDCAD a0-fx</stp>
        <stp>Open</stp>
        <stp>D</stp>
        <stp/>
        <stp>172</stp>
        <tr r="B176" s="1"/>
      </tp>
      <tp t="s">
        <v/>
        <stp/>
        <stp>*H</stp>
        <stp>AUDCAD a0-fx</stp>
        <stp>Open</stp>
        <stp>D</stp>
        <stp/>
        <stp>173</stp>
        <tr r="B177" s="1"/>
      </tp>
      <tp t="s">
        <v/>
        <stp/>
        <stp>*H</stp>
        <stp>AUDCAD a0-fx</stp>
        <stp>Open</stp>
        <stp>D</stp>
        <stp/>
        <stp>174</stp>
        <tr r="B178" s="1"/>
      </tp>
      <tp t="s">
        <v/>
        <stp/>
        <stp>*H</stp>
        <stp>AUDCAD a0-fx</stp>
        <stp>Open</stp>
        <stp>D</stp>
        <stp/>
        <stp>175</stp>
        <tr r="B179" s="1"/>
      </tp>
      <tp t="s">
        <v/>
        <stp/>
        <stp>*H</stp>
        <stp>AUDCAD a0-fx</stp>
        <stp>Open</stp>
        <stp>D</stp>
        <stp/>
        <stp>176</stp>
        <tr r="B180" s="1"/>
      </tp>
      <tp t="s">
        <v/>
        <stp/>
        <stp>*H</stp>
        <stp>AUDCAD a0-fx</stp>
        <stp>Open</stp>
        <stp>D</stp>
        <stp/>
        <stp>177</stp>
        <tr r="B181" s="1"/>
      </tp>
      <tp t="s">
        <v/>
        <stp/>
        <stp>*H</stp>
        <stp>AUDCAD a0-fx</stp>
        <stp>Open</stp>
        <stp>D</stp>
        <stp/>
        <stp>178</stp>
        <tr r="B182" s="1"/>
      </tp>
      <tp t="s">
        <v/>
        <stp/>
        <stp>*H</stp>
        <stp>AUDCAD a0-fx</stp>
        <stp>Open</stp>
        <stp>D</stp>
        <stp/>
        <stp>179</stp>
        <tr r="B183" s="1"/>
      </tp>
      <tp t="s">
        <v/>
        <stp/>
        <stp>*H</stp>
        <stp>AUDCAD a0-fx</stp>
        <stp>Open</stp>
        <stp>D</stp>
        <stp/>
        <stp>160</stp>
        <tr r="B164" s="1"/>
      </tp>
      <tp t="s">
        <v/>
        <stp/>
        <stp>*H</stp>
        <stp>AUDCAD a0-fx</stp>
        <stp>Open</stp>
        <stp>D</stp>
        <stp/>
        <stp>161</stp>
        <tr r="B165" s="1"/>
      </tp>
      <tp t="s">
        <v/>
        <stp/>
        <stp>*H</stp>
        <stp>AUDCAD a0-fx</stp>
        <stp>Open</stp>
        <stp>D</stp>
        <stp/>
        <stp>162</stp>
        <tr r="B166" s="1"/>
      </tp>
      <tp t="s">
        <v/>
        <stp/>
        <stp>*H</stp>
        <stp>AUDCAD a0-fx</stp>
        <stp>Open</stp>
        <stp>D</stp>
        <stp/>
        <stp>163</stp>
        <tr r="B167" s="1"/>
      </tp>
      <tp t="s">
        <v/>
        <stp/>
        <stp>*H</stp>
        <stp>AUDCAD a0-fx</stp>
        <stp>Open</stp>
        <stp>D</stp>
        <stp/>
        <stp>164</stp>
        <tr r="B168" s="1"/>
      </tp>
      <tp t="s">
        <v/>
        <stp/>
        <stp>*H</stp>
        <stp>AUDCAD a0-fx</stp>
        <stp>Open</stp>
        <stp>D</stp>
        <stp/>
        <stp>165</stp>
        <tr r="B169" s="1"/>
      </tp>
      <tp t="s">
        <v/>
        <stp/>
        <stp>*H</stp>
        <stp>AUDCAD a0-fx</stp>
        <stp>Open</stp>
        <stp>D</stp>
        <stp/>
        <stp>166</stp>
        <tr r="B170" s="1"/>
      </tp>
      <tp t="s">
        <v/>
        <stp/>
        <stp>*H</stp>
        <stp>AUDCAD a0-fx</stp>
        <stp>Open</stp>
        <stp>D</stp>
        <stp/>
        <stp>167</stp>
        <tr r="B171" s="1"/>
      </tp>
      <tp t="s">
        <v/>
        <stp/>
        <stp>*H</stp>
        <stp>AUDCAD a0-fx</stp>
        <stp>Open</stp>
        <stp>D</stp>
        <stp/>
        <stp>168</stp>
        <tr r="B172" s="1"/>
      </tp>
      <tp t="s">
        <v/>
        <stp/>
        <stp>*H</stp>
        <stp>AUDCAD a0-fx</stp>
        <stp>Open</stp>
        <stp>D</stp>
        <stp/>
        <stp>169</stp>
        <tr r="B173" s="1"/>
      </tp>
      <tp t="s">
        <v/>
        <stp/>
        <stp>*H</stp>
        <stp>AUDCAD a0-fx</stp>
        <stp>Open</stp>
        <stp>D</stp>
        <stp/>
        <stp>150</stp>
        <tr r="B154" s="1"/>
      </tp>
      <tp t="s">
        <v/>
        <stp/>
        <stp>*H</stp>
        <stp>AUDCAD a0-fx</stp>
        <stp>Open</stp>
        <stp>D</stp>
        <stp/>
        <stp>151</stp>
        <tr r="B155" s="1"/>
      </tp>
      <tp t="s">
        <v/>
        <stp/>
        <stp>*H</stp>
        <stp>AUDCAD a0-fx</stp>
        <stp>Open</stp>
        <stp>D</stp>
        <stp/>
        <stp>152</stp>
        <tr r="B156" s="1"/>
      </tp>
      <tp t="s">
        <v/>
        <stp/>
        <stp>*H</stp>
        <stp>AUDCAD a0-fx</stp>
        <stp>Open</stp>
        <stp>D</stp>
        <stp/>
        <stp>153</stp>
        <tr r="B157" s="1"/>
      </tp>
      <tp t="s">
        <v/>
        <stp/>
        <stp>*H</stp>
        <stp>AUDCAD a0-fx</stp>
        <stp>Open</stp>
        <stp>D</stp>
        <stp/>
        <stp>154</stp>
        <tr r="B158" s="1"/>
      </tp>
      <tp t="s">
        <v/>
        <stp/>
        <stp>*H</stp>
        <stp>AUDCAD a0-fx</stp>
        <stp>Open</stp>
        <stp>D</stp>
        <stp/>
        <stp>155</stp>
        <tr r="B159" s="1"/>
      </tp>
      <tp t="s">
        <v/>
        <stp/>
        <stp>*H</stp>
        <stp>AUDCAD a0-fx</stp>
        <stp>Open</stp>
        <stp>D</stp>
        <stp/>
        <stp>156</stp>
        <tr r="B160" s="1"/>
      </tp>
      <tp t="s">
        <v/>
        <stp/>
        <stp>*H</stp>
        <stp>AUDCAD a0-fx</stp>
        <stp>Open</stp>
        <stp>D</stp>
        <stp/>
        <stp>157</stp>
        <tr r="B161" s="1"/>
      </tp>
      <tp t="s">
        <v/>
        <stp/>
        <stp>*H</stp>
        <stp>AUDCAD a0-fx</stp>
        <stp>Open</stp>
        <stp>D</stp>
        <stp/>
        <stp>158</stp>
        <tr r="B162" s="1"/>
      </tp>
      <tp t="s">
        <v/>
        <stp/>
        <stp>*H</stp>
        <stp>AUDCAD a0-fx</stp>
        <stp>Open</stp>
        <stp>D</stp>
        <stp/>
        <stp>159</stp>
        <tr r="B163" s="1"/>
      </tp>
      <tp t="s">
        <v/>
        <stp/>
        <stp>*H</stp>
        <stp>AUDCAD a0-fx</stp>
        <stp>Open</stp>
        <stp>D</stp>
        <stp/>
        <stp>140</stp>
        <tr r="B144" s="1"/>
      </tp>
      <tp t="s">
        <v/>
        <stp/>
        <stp>*H</stp>
        <stp>AUDCAD a0-fx</stp>
        <stp>Open</stp>
        <stp>D</stp>
        <stp/>
        <stp>141</stp>
        <tr r="B145" s="1"/>
      </tp>
      <tp t="s">
        <v/>
        <stp/>
        <stp>*H</stp>
        <stp>AUDCAD a0-fx</stp>
        <stp>Open</stp>
        <stp>D</stp>
        <stp/>
        <stp>142</stp>
        <tr r="B146" s="1"/>
      </tp>
      <tp t="s">
        <v/>
        <stp/>
        <stp>*H</stp>
        <stp>AUDCAD a0-fx</stp>
        <stp>Open</stp>
        <stp>D</stp>
        <stp/>
        <stp>143</stp>
        <tr r="B147" s="1"/>
      </tp>
      <tp t="s">
        <v/>
        <stp/>
        <stp>*H</stp>
        <stp>AUDCAD a0-fx</stp>
        <stp>Open</stp>
        <stp>D</stp>
        <stp/>
        <stp>144</stp>
        <tr r="B148" s="1"/>
      </tp>
      <tp t="s">
        <v/>
        <stp/>
        <stp>*H</stp>
        <stp>AUDCAD a0-fx</stp>
        <stp>Open</stp>
        <stp>D</stp>
        <stp/>
        <stp>145</stp>
        <tr r="B149" s="1"/>
      </tp>
      <tp t="s">
        <v/>
        <stp/>
        <stp>*H</stp>
        <stp>AUDCAD a0-fx</stp>
        <stp>Open</stp>
        <stp>D</stp>
        <stp/>
        <stp>146</stp>
        <tr r="B150" s="1"/>
      </tp>
      <tp t="s">
        <v/>
        <stp/>
        <stp>*H</stp>
        <stp>AUDCAD a0-fx</stp>
        <stp>Open</stp>
        <stp>D</stp>
        <stp/>
        <stp>147</stp>
        <tr r="B151" s="1"/>
      </tp>
      <tp t="s">
        <v/>
        <stp/>
        <stp>*H</stp>
        <stp>AUDCAD a0-fx</stp>
        <stp>Open</stp>
        <stp>D</stp>
        <stp/>
        <stp>148</stp>
        <tr r="B152" s="1"/>
      </tp>
      <tp t="s">
        <v/>
        <stp/>
        <stp>*H</stp>
        <stp>AUDCAD a0-fx</stp>
        <stp>Open</stp>
        <stp>D</stp>
        <stp/>
        <stp>149</stp>
        <tr r="B153" s="1"/>
      </tp>
      <tp t="s">
        <v/>
        <stp/>
        <stp>*H</stp>
        <stp>AUDCAD a0-fx</stp>
        <stp>Open</stp>
        <stp>D</stp>
        <stp/>
        <stp>130</stp>
        <tr r="B134" s="1"/>
      </tp>
      <tp t="s">
        <v/>
        <stp/>
        <stp>*H</stp>
        <stp>AUDCAD a0-fx</stp>
        <stp>Open</stp>
        <stp>D</stp>
        <stp/>
        <stp>131</stp>
        <tr r="B135" s="1"/>
      </tp>
      <tp t="s">
        <v/>
        <stp/>
        <stp>*H</stp>
        <stp>AUDCAD a0-fx</stp>
        <stp>Open</stp>
        <stp>D</stp>
        <stp/>
        <stp>132</stp>
        <tr r="B136" s="1"/>
      </tp>
      <tp t="s">
        <v/>
        <stp/>
        <stp>*H</stp>
        <stp>AUDCAD a0-fx</stp>
        <stp>Open</stp>
        <stp>D</stp>
        <stp/>
        <stp>133</stp>
        <tr r="B137" s="1"/>
      </tp>
      <tp t="s">
        <v/>
        <stp/>
        <stp>*H</stp>
        <stp>AUDCAD a0-fx</stp>
        <stp>Open</stp>
        <stp>D</stp>
        <stp/>
        <stp>134</stp>
        <tr r="B138" s="1"/>
      </tp>
      <tp t="s">
        <v/>
        <stp/>
        <stp>*H</stp>
        <stp>AUDCAD a0-fx</stp>
        <stp>Open</stp>
        <stp>D</stp>
        <stp/>
        <stp>135</stp>
        <tr r="B139" s="1"/>
      </tp>
      <tp t="s">
        <v/>
        <stp/>
        <stp>*H</stp>
        <stp>AUDCAD a0-fx</stp>
        <stp>Open</stp>
        <stp>D</stp>
        <stp/>
        <stp>136</stp>
        <tr r="B140" s="1"/>
      </tp>
      <tp t="s">
        <v/>
        <stp/>
        <stp>*H</stp>
        <stp>AUDCAD a0-fx</stp>
        <stp>Open</stp>
        <stp>D</stp>
        <stp/>
        <stp>137</stp>
        <tr r="B141" s="1"/>
      </tp>
      <tp t="s">
        <v/>
        <stp/>
        <stp>*H</stp>
        <stp>AUDCAD a0-fx</stp>
        <stp>Open</stp>
        <stp>D</stp>
        <stp/>
        <stp>138</stp>
        <tr r="B142" s="1"/>
      </tp>
      <tp t="s">
        <v/>
        <stp/>
        <stp>*H</stp>
        <stp>AUDCAD a0-fx</stp>
        <stp>Open</stp>
        <stp>D</stp>
        <stp/>
        <stp>139</stp>
        <tr r="B143" s="1"/>
      </tp>
      <tp t="s">
        <v/>
        <stp/>
        <stp>*H</stp>
        <stp>AUDCAD a0-fx</stp>
        <stp>Open</stp>
        <stp>D</stp>
        <stp/>
        <stp>120</stp>
        <tr r="B124" s="1"/>
      </tp>
      <tp t="s">
        <v/>
        <stp/>
        <stp>*H</stp>
        <stp>AUDCAD a0-fx</stp>
        <stp>Open</stp>
        <stp>D</stp>
        <stp/>
        <stp>121</stp>
        <tr r="B125" s="1"/>
      </tp>
      <tp t="s">
        <v/>
        <stp/>
        <stp>*H</stp>
        <stp>AUDCAD a0-fx</stp>
        <stp>Open</stp>
        <stp>D</stp>
        <stp/>
        <stp>122</stp>
        <tr r="B126" s="1"/>
      </tp>
      <tp t="s">
        <v/>
        <stp/>
        <stp>*H</stp>
        <stp>AUDCAD a0-fx</stp>
        <stp>Open</stp>
        <stp>D</stp>
        <stp/>
        <stp>123</stp>
        <tr r="B127" s="1"/>
      </tp>
      <tp t="s">
        <v/>
        <stp/>
        <stp>*H</stp>
        <stp>AUDCAD a0-fx</stp>
        <stp>Open</stp>
        <stp>D</stp>
        <stp/>
        <stp>124</stp>
        <tr r="B128" s="1"/>
      </tp>
      <tp t="s">
        <v/>
        <stp/>
        <stp>*H</stp>
        <stp>AUDCAD a0-fx</stp>
        <stp>Open</stp>
        <stp>D</stp>
        <stp/>
        <stp>125</stp>
        <tr r="B129" s="1"/>
      </tp>
      <tp t="s">
        <v/>
        <stp/>
        <stp>*H</stp>
        <stp>AUDCAD a0-fx</stp>
        <stp>Open</stp>
        <stp>D</stp>
        <stp/>
        <stp>126</stp>
        <tr r="B130" s="1"/>
      </tp>
      <tp t="s">
        <v/>
        <stp/>
        <stp>*H</stp>
        <stp>AUDCAD a0-fx</stp>
        <stp>Open</stp>
        <stp>D</stp>
        <stp/>
        <stp>127</stp>
        <tr r="B131" s="1"/>
      </tp>
      <tp t="s">
        <v/>
        <stp/>
        <stp>*H</stp>
        <stp>AUDCAD a0-fx</stp>
        <stp>Open</stp>
        <stp>D</stp>
        <stp/>
        <stp>128</stp>
        <tr r="B132" s="1"/>
      </tp>
      <tp t="s">
        <v/>
        <stp/>
        <stp>*H</stp>
        <stp>AUDCAD a0-fx</stp>
        <stp>Open</stp>
        <stp>D</stp>
        <stp/>
        <stp>129</stp>
        <tr r="B133" s="1"/>
      </tp>
      <tp t="s">
        <v/>
        <stp/>
        <stp>*H</stp>
        <stp>AUDCAD a0-fx</stp>
        <stp>Open</stp>
        <stp>D</stp>
        <stp/>
        <stp>110</stp>
        <tr r="B114" s="1"/>
      </tp>
      <tp t="s">
        <v/>
        <stp/>
        <stp>*H</stp>
        <stp>AUDCAD a0-fx</stp>
        <stp>Open</stp>
        <stp>D</stp>
        <stp/>
        <stp>111</stp>
        <tr r="B115" s="1"/>
      </tp>
      <tp t="s">
        <v/>
        <stp/>
        <stp>*H</stp>
        <stp>AUDCAD a0-fx</stp>
        <stp>Open</stp>
        <stp>D</stp>
        <stp/>
        <stp>112</stp>
        <tr r="B116" s="1"/>
      </tp>
      <tp t="s">
        <v/>
        <stp/>
        <stp>*H</stp>
        <stp>AUDCAD a0-fx</stp>
        <stp>Open</stp>
        <stp>D</stp>
        <stp/>
        <stp>113</stp>
        <tr r="B117" s="1"/>
      </tp>
      <tp t="s">
        <v/>
        <stp/>
        <stp>*H</stp>
        <stp>AUDCAD a0-fx</stp>
        <stp>Open</stp>
        <stp>D</stp>
        <stp/>
        <stp>114</stp>
        <tr r="B118" s="1"/>
      </tp>
      <tp t="s">
        <v/>
        <stp/>
        <stp>*H</stp>
        <stp>AUDCAD a0-fx</stp>
        <stp>Open</stp>
        <stp>D</stp>
        <stp/>
        <stp>115</stp>
        <tr r="B119" s="1"/>
      </tp>
      <tp t="s">
        <v/>
        <stp/>
        <stp>*H</stp>
        <stp>AUDCAD a0-fx</stp>
        <stp>Open</stp>
        <stp>D</stp>
        <stp/>
        <stp>116</stp>
        <tr r="B120" s="1"/>
      </tp>
      <tp t="s">
        <v/>
        <stp/>
        <stp>*H</stp>
        <stp>AUDCAD a0-fx</stp>
        <stp>Open</stp>
        <stp>D</stp>
        <stp/>
        <stp>117</stp>
        <tr r="B121" s="1"/>
      </tp>
      <tp t="s">
        <v/>
        <stp/>
        <stp>*H</stp>
        <stp>AUDCAD a0-fx</stp>
        <stp>Open</stp>
        <stp>D</stp>
        <stp/>
        <stp>118</stp>
        <tr r="B122" s="1"/>
      </tp>
      <tp t="s">
        <v/>
        <stp/>
        <stp>*H</stp>
        <stp>AUDCAD a0-fx</stp>
        <stp>Open</stp>
        <stp>D</stp>
        <stp/>
        <stp>119</stp>
        <tr r="B123" s="1"/>
      </tp>
      <tp t="s">
        <v/>
        <stp/>
        <stp>*H</stp>
        <stp>AUDCAD a0-fx</stp>
        <stp>Open</stp>
        <stp>D</stp>
        <stp/>
        <stp>100</stp>
        <tr r="B104" s="1"/>
      </tp>
      <tp t="s">
        <v/>
        <stp/>
        <stp>*H</stp>
        <stp>AUDCAD a0-fx</stp>
        <stp>Open</stp>
        <stp>D</stp>
        <stp/>
        <stp>101</stp>
        <tr r="B105" s="1"/>
      </tp>
      <tp t="s">
        <v/>
        <stp/>
        <stp>*H</stp>
        <stp>AUDCAD a0-fx</stp>
        <stp>Open</stp>
        <stp>D</stp>
        <stp/>
        <stp>102</stp>
        <tr r="B106" s="1"/>
      </tp>
      <tp t="s">
        <v/>
        <stp/>
        <stp>*H</stp>
        <stp>AUDCAD a0-fx</stp>
        <stp>Open</stp>
        <stp>D</stp>
        <stp/>
        <stp>103</stp>
        <tr r="B107" s="1"/>
      </tp>
      <tp t="s">
        <v/>
        <stp/>
        <stp>*H</stp>
        <stp>AUDCAD a0-fx</stp>
        <stp>Open</stp>
        <stp>D</stp>
        <stp/>
        <stp>104</stp>
        <tr r="B108" s="1"/>
      </tp>
      <tp t="s">
        <v/>
        <stp/>
        <stp>*H</stp>
        <stp>AUDCAD a0-fx</stp>
        <stp>Open</stp>
        <stp>D</stp>
        <stp/>
        <stp>105</stp>
        <tr r="B109" s="1"/>
      </tp>
      <tp t="s">
        <v/>
        <stp/>
        <stp>*H</stp>
        <stp>AUDCAD a0-fx</stp>
        <stp>Open</stp>
        <stp>D</stp>
        <stp/>
        <stp>106</stp>
        <tr r="B110" s="1"/>
      </tp>
      <tp t="s">
        <v/>
        <stp/>
        <stp>*H</stp>
        <stp>AUDCAD a0-fx</stp>
        <stp>Open</stp>
        <stp>D</stp>
        <stp/>
        <stp>107</stp>
        <tr r="B111" s="1"/>
      </tp>
      <tp t="s">
        <v/>
        <stp/>
        <stp>*H</stp>
        <stp>AUDCAD a0-fx</stp>
        <stp>Open</stp>
        <stp>D</stp>
        <stp/>
        <stp>108</stp>
        <tr r="B112" s="1"/>
      </tp>
      <tp t="s">
        <v/>
        <stp/>
        <stp>*H</stp>
        <stp>AUDCAD a0-fx</stp>
        <stp>Open</stp>
        <stp>D</stp>
        <stp/>
        <stp>109</stp>
        <tr r="B113" s="1"/>
      </tp>
      <tp t="s">
        <v/>
        <stp/>
        <stp>*H</stp>
        <stp>AUDCAD a0-fx</stp>
        <stp>Last</stp>
        <stp>D</stp>
        <stp/>
        <stp>264</stp>
        <tr r="E268" s="1"/>
      </tp>
      <tp t="s">
        <v/>
        <stp/>
        <stp>*H</stp>
        <stp>AUDCAD a0-fx</stp>
        <stp>Last</stp>
        <stp>D</stp>
        <stp/>
        <stp>262</stp>
        <tr r="E266" s="1"/>
      </tp>
      <tp t="s">
        <v/>
        <stp/>
        <stp>*H</stp>
        <stp>AUDCAD a0-fx</stp>
        <stp>Last</stp>
        <stp>D</stp>
        <stp/>
        <stp>263</stp>
        <tr r="E267" s="1"/>
      </tp>
      <tp t="s">
        <v/>
        <stp/>
        <stp>*H</stp>
        <stp>AUDCAD a0-fx</stp>
        <stp>Last</stp>
        <stp>D</stp>
        <stp/>
        <stp>260</stp>
        <tr r="E264" s="1"/>
      </tp>
      <tp t="s">
        <v/>
        <stp/>
        <stp>*H</stp>
        <stp>AUDCAD a0-fx</stp>
        <stp>Last</stp>
        <stp>D</stp>
        <stp/>
        <stp>261</stp>
        <tr r="E265" s="1"/>
      </tp>
      <tp t="s">
        <v/>
        <stp/>
        <stp>*H</stp>
        <stp>AUDCAD a0-fx</stp>
        <stp>Last</stp>
        <stp>D</stp>
        <stp/>
        <stp>246</stp>
        <tr r="E250" s="1"/>
      </tp>
      <tp t="s">
        <v/>
        <stp/>
        <stp>*H</stp>
        <stp>AUDCAD a0-fx</stp>
        <stp>Last</stp>
        <stp>D</stp>
        <stp/>
        <stp>247</stp>
        <tr r="E251" s="1"/>
      </tp>
      <tp t="s">
        <v/>
        <stp/>
        <stp>*H</stp>
        <stp>AUDCAD a0-fx</stp>
        <stp>Last</stp>
        <stp>D</stp>
        <stp/>
        <stp>244</stp>
        <tr r="E248" s="1"/>
      </tp>
      <tp t="s">
        <v/>
        <stp/>
        <stp>*H</stp>
        <stp>AUDCAD a0-fx</stp>
        <stp>Last</stp>
        <stp>D</stp>
        <stp/>
        <stp>245</stp>
        <tr r="E249" s="1"/>
      </tp>
      <tp t="s">
        <v/>
        <stp/>
        <stp>*H</stp>
        <stp>AUDCAD a0-fx</stp>
        <stp>Last</stp>
        <stp>D</stp>
        <stp/>
        <stp>242</stp>
        <tr r="E246" s="1"/>
      </tp>
      <tp t="s">
        <v/>
        <stp/>
        <stp>*H</stp>
        <stp>AUDCAD a0-fx</stp>
        <stp>Last</stp>
        <stp>D</stp>
        <stp/>
        <stp>243</stp>
        <tr r="E247" s="1"/>
      </tp>
      <tp t="s">
        <v/>
        <stp/>
        <stp>*H</stp>
        <stp>AUDCAD a0-fx</stp>
        <stp>Last</stp>
        <stp>D</stp>
        <stp/>
        <stp>240</stp>
        <tr r="E244" s="1"/>
      </tp>
      <tp t="s">
        <v/>
        <stp/>
        <stp>*H</stp>
        <stp>AUDCAD a0-fx</stp>
        <stp>Last</stp>
        <stp>D</stp>
        <stp/>
        <stp>241</stp>
        <tr r="E245" s="1"/>
      </tp>
      <tp t="s">
        <v/>
        <stp/>
        <stp>*H</stp>
        <stp>AUDCAD a0-fx</stp>
        <stp>Last</stp>
        <stp>D</stp>
        <stp/>
        <stp>248</stp>
        <tr r="E252" s="1"/>
      </tp>
      <tp t="s">
        <v/>
        <stp/>
        <stp>*H</stp>
        <stp>AUDCAD a0-fx</stp>
        <stp>Last</stp>
        <stp>D</stp>
        <stp/>
        <stp>249</stp>
        <tr r="E253" s="1"/>
      </tp>
      <tp t="s">
        <v/>
        <stp/>
        <stp>*H</stp>
        <stp>AUDCAD a0-fx</stp>
        <stp>Last</stp>
        <stp>D</stp>
        <stp/>
        <stp>256</stp>
        <tr r="E260" s="1"/>
      </tp>
      <tp t="s">
        <v/>
        <stp/>
        <stp>*H</stp>
        <stp>AUDCAD a0-fx</stp>
        <stp>Last</stp>
        <stp>D</stp>
        <stp/>
        <stp>257</stp>
        <tr r="E261" s="1"/>
      </tp>
      <tp t="s">
        <v/>
        <stp/>
        <stp>*H</stp>
        <stp>AUDCAD a0-fx</stp>
        <stp>Last</stp>
        <stp>D</stp>
        <stp/>
        <stp>254</stp>
        <tr r="E258" s="1"/>
      </tp>
      <tp t="s">
        <v/>
        <stp/>
        <stp>*H</stp>
        <stp>AUDCAD a0-fx</stp>
        <stp>Last</stp>
        <stp>D</stp>
        <stp/>
        <stp>255</stp>
        <tr r="E259" s="1"/>
      </tp>
      <tp t="s">
        <v/>
        <stp/>
        <stp>*H</stp>
        <stp>AUDCAD a0-fx</stp>
        <stp>Last</stp>
        <stp>D</stp>
        <stp/>
        <stp>252</stp>
        <tr r="E256" s="1"/>
      </tp>
      <tp t="s">
        <v/>
        <stp/>
        <stp>*H</stp>
        <stp>AUDCAD a0-fx</stp>
        <stp>Last</stp>
        <stp>D</stp>
        <stp/>
        <stp>253</stp>
        <tr r="E257" s="1"/>
      </tp>
      <tp t="s">
        <v/>
        <stp/>
        <stp>*H</stp>
        <stp>AUDCAD a0-fx</stp>
        <stp>Last</stp>
        <stp>D</stp>
        <stp/>
        <stp>250</stp>
        <tr r="E254" s="1"/>
      </tp>
      <tp t="s">
        <v/>
        <stp/>
        <stp>*H</stp>
        <stp>AUDCAD a0-fx</stp>
        <stp>Last</stp>
        <stp>D</stp>
        <stp/>
        <stp>251</stp>
        <tr r="E255" s="1"/>
      </tp>
      <tp t="s">
        <v/>
        <stp/>
        <stp>*H</stp>
        <stp>AUDCAD a0-fx</stp>
        <stp>Last</stp>
        <stp>D</stp>
        <stp/>
        <stp>258</stp>
        <tr r="E262" s="1"/>
      </tp>
      <tp t="s">
        <v/>
        <stp/>
        <stp>*H</stp>
        <stp>AUDCAD a0-fx</stp>
        <stp>Last</stp>
        <stp>D</stp>
        <stp/>
        <stp>259</stp>
        <tr r="E263" s="1"/>
      </tp>
      <tp t="s">
        <v/>
        <stp/>
        <stp>*H</stp>
        <stp>AUDCAD a0-fx</stp>
        <stp>Last</stp>
        <stp>D</stp>
        <stp/>
        <stp>226</stp>
        <tr r="E230" s="1"/>
      </tp>
      <tp t="s">
        <v/>
        <stp/>
        <stp>*H</stp>
        <stp>AUDCAD a0-fx</stp>
        <stp>Last</stp>
        <stp>D</stp>
        <stp/>
        <stp>227</stp>
        <tr r="E231" s="1"/>
      </tp>
      <tp t="s">
        <v/>
        <stp/>
        <stp>*H</stp>
        <stp>AUDCAD a0-fx</stp>
        <stp>Last</stp>
        <stp>D</stp>
        <stp/>
        <stp>224</stp>
        <tr r="E228" s="1"/>
      </tp>
      <tp t="s">
        <v/>
        <stp/>
        <stp>*H</stp>
        <stp>AUDCAD a0-fx</stp>
        <stp>Last</stp>
        <stp>D</stp>
        <stp/>
        <stp>225</stp>
        <tr r="E229" s="1"/>
      </tp>
      <tp t="s">
        <v/>
        <stp/>
        <stp>*H</stp>
        <stp>AUDCAD a0-fx</stp>
        <stp>Last</stp>
        <stp>D</stp>
        <stp/>
        <stp>222</stp>
        <tr r="E226" s="1"/>
      </tp>
      <tp t="s">
        <v/>
        <stp/>
        <stp>*H</stp>
        <stp>AUDCAD a0-fx</stp>
        <stp>Last</stp>
        <stp>D</stp>
        <stp/>
        <stp>223</stp>
        <tr r="E227" s="1"/>
      </tp>
      <tp t="s">
        <v/>
        <stp/>
        <stp>*H</stp>
        <stp>AUDCAD a0-fx</stp>
        <stp>Last</stp>
        <stp>D</stp>
        <stp/>
        <stp>220</stp>
        <tr r="E224" s="1"/>
      </tp>
      <tp t="s">
        <v/>
        <stp/>
        <stp>*H</stp>
        <stp>AUDCAD a0-fx</stp>
        <stp>Last</stp>
        <stp>D</stp>
        <stp/>
        <stp>221</stp>
        <tr r="E225" s="1"/>
      </tp>
      <tp t="s">
        <v/>
        <stp/>
        <stp>*H</stp>
        <stp>AUDCAD a0-fx</stp>
        <stp>Last</stp>
        <stp>D</stp>
        <stp/>
        <stp>228</stp>
        <tr r="E232" s="1"/>
      </tp>
      <tp t="s">
        <v/>
        <stp/>
        <stp>*H</stp>
        <stp>AUDCAD a0-fx</stp>
        <stp>Last</stp>
        <stp>D</stp>
        <stp/>
        <stp>229</stp>
        <tr r="E233" s="1"/>
      </tp>
      <tp t="s">
        <v/>
        <stp/>
        <stp>*H</stp>
        <stp>AUDCAD a0-fx</stp>
        <stp>Last</stp>
        <stp>D</stp>
        <stp/>
        <stp>236</stp>
        <tr r="E240" s="1"/>
      </tp>
      <tp t="s">
        <v/>
        <stp/>
        <stp>*H</stp>
        <stp>AUDCAD a0-fx</stp>
        <stp>Last</stp>
        <stp>D</stp>
        <stp/>
        <stp>237</stp>
        <tr r="E241" s="1"/>
      </tp>
      <tp t="s">
        <v/>
        <stp/>
        <stp>*H</stp>
        <stp>AUDCAD a0-fx</stp>
        <stp>Last</stp>
        <stp>D</stp>
        <stp/>
        <stp>234</stp>
        <tr r="E238" s="1"/>
      </tp>
      <tp t="s">
        <v/>
        <stp/>
        <stp>*H</stp>
        <stp>AUDCAD a0-fx</stp>
        <stp>Last</stp>
        <stp>D</stp>
        <stp/>
        <stp>235</stp>
        <tr r="E239" s="1"/>
      </tp>
      <tp t="s">
        <v/>
        <stp/>
        <stp>*H</stp>
        <stp>AUDCAD a0-fx</stp>
        <stp>Last</stp>
        <stp>D</stp>
        <stp/>
        <stp>232</stp>
        <tr r="E236" s="1"/>
      </tp>
      <tp t="s">
        <v/>
        <stp/>
        <stp>*H</stp>
        <stp>AUDCAD a0-fx</stp>
        <stp>Last</stp>
        <stp>D</stp>
        <stp/>
        <stp>233</stp>
        <tr r="E237" s="1"/>
      </tp>
      <tp t="s">
        <v/>
        <stp/>
        <stp>*H</stp>
        <stp>AUDCAD a0-fx</stp>
        <stp>Last</stp>
        <stp>D</stp>
        <stp/>
        <stp>230</stp>
        <tr r="E234" s="1"/>
      </tp>
      <tp t="s">
        <v/>
        <stp/>
        <stp>*H</stp>
        <stp>AUDCAD a0-fx</stp>
        <stp>Last</stp>
        <stp>D</stp>
        <stp/>
        <stp>231</stp>
        <tr r="E235" s="1"/>
      </tp>
      <tp t="s">
        <v/>
        <stp/>
        <stp>*H</stp>
        <stp>AUDCAD a0-fx</stp>
        <stp>Last</stp>
        <stp>D</stp>
        <stp/>
        <stp>238</stp>
        <tr r="E242" s="1"/>
      </tp>
      <tp t="s">
        <v/>
        <stp/>
        <stp>*H</stp>
        <stp>AUDCAD a0-fx</stp>
        <stp>Last</stp>
        <stp>D</stp>
        <stp/>
        <stp>239</stp>
        <tr r="E243" s="1"/>
      </tp>
      <tp t="s">
        <v/>
        <stp/>
        <stp>*H</stp>
        <stp>AUDCAD a0-fx</stp>
        <stp>Last</stp>
        <stp>D</stp>
        <stp/>
        <stp>206</stp>
        <tr r="E210" s="1"/>
      </tp>
      <tp t="s">
        <v/>
        <stp/>
        <stp>*H</stp>
        <stp>AUDCAD a0-fx</stp>
        <stp>Last</stp>
        <stp>D</stp>
        <stp/>
        <stp>207</stp>
        <tr r="E211" s="1"/>
      </tp>
      <tp t="s">
        <v/>
        <stp/>
        <stp>*H</stp>
        <stp>AUDCAD a0-fx</stp>
        <stp>Last</stp>
        <stp>D</stp>
        <stp/>
        <stp>204</stp>
        <tr r="E208" s="1"/>
      </tp>
      <tp t="s">
        <v/>
        <stp/>
        <stp>*H</stp>
        <stp>AUDCAD a0-fx</stp>
        <stp>Last</stp>
        <stp>D</stp>
        <stp/>
        <stp>205</stp>
        <tr r="E209" s="1"/>
      </tp>
      <tp t="s">
        <v/>
        <stp/>
        <stp>*H</stp>
        <stp>AUDCAD a0-fx</stp>
        <stp>Last</stp>
        <stp>D</stp>
        <stp/>
        <stp>202</stp>
        <tr r="E206" s="1"/>
      </tp>
      <tp t="s">
        <v/>
        <stp/>
        <stp>*H</stp>
        <stp>AUDCAD a0-fx</stp>
        <stp>Last</stp>
        <stp>D</stp>
        <stp/>
        <stp>203</stp>
        <tr r="E207" s="1"/>
      </tp>
      <tp t="s">
        <v/>
        <stp/>
        <stp>*H</stp>
        <stp>AUDCAD a0-fx</stp>
        <stp>Last</stp>
        <stp>D</stp>
        <stp/>
        <stp>200</stp>
        <tr r="E204" s="1"/>
      </tp>
      <tp t="s">
        <v/>
        <stp/>
        <stp>*H</stp>
        <stp>AUDCAD a0-fx</stp>
        <stp>Last</stp>
        <stp>D</stp>
        <stp/>
        <stp>201</stp>
        <tr r="E205" s="1"/>
      </tp>
      <tp t="s">
        <v/>
        <stp/>
        <stp>*H</stp>
        <stp>AUDCAD a0-fx</stp>
        <stp>Last</stp>
        <stp>D</stp>
        <stp/>
        <stp>208</stp>
        <tr r="E212" s="1"/>
      </tp>
      <tp t="s">
        <v/>
        <stp/>
        <stp>*H</stp>
        <stp>AUDCAD a0-fx</stp>
        <stp>Last</stp>
        <stp>D</stp>
        <stp/>
        <stp>209</stp>
        <tr r="E213" s="1"/>
      </tp>
      <tp t="s">
        <v/>
        <stp/>
        <stp>*H</stp>
        <stp>AUDCAD a0-fx</stp>
        <stp>Last</stp>
        <stp>D</stp>
        <stp/>
        <stp>216</stp>
        <tr r="E220" s="1"/>
      </tp>
      <tp t="s">
        <v/>
        <stp/>
        <stp>*H</stp>
        <stp>AUDCAD a0-fx</stp>
        <stp>Last</stp>
        <stp>D</stp>
        <stp/>
        <stp>217</stp>
        <tr r="E221" s="1"/>
      </tp>
      <tp t="s">
        <v/>
        <stp/>
        <stp>*H</stp>
        <stp>AUDCAD a0-fx</stp>
        <stp>Last</stp>
        <stp>D</stp>
        <stp/>
        <stp>214</stp>
        <tr r="E218" s="1"/>
      </tp>
      <tp t="s">
        <v/>
        <stp/>
        <stp>*H</stp>
        <stp>AUDCAD a0-fx</stp>
        <stp>Last</stp>
        <stp>D</stp>
        <stp/>
        <stp>215</stp>
        <tr r="E219" s="1"/>
      </tp>
      <tp t="s">
        <v/>
        <stp/>
        <stp>*H</stp>
        <stp>AUDCAD a0-fx</stp>
        <stp>Last</stp>
        <stp>D</stp>
        <stp/>
        <stp>212</stp>
        <tr r="E216" s="1"/>
      </tp>
      <tp t="s">
        <v/>
        <stp/>
        <stp>*H</stp>
        <stp>AUDCAD a0-fx</stp>
        <stp>Last</stp>
        <stp>D</stp>
        <stp/>
        <stp>213</stp>
        <tr r="E217" s="1"/>
      </tp>
      <tp t="s">
        <v/>
        <stp/>
        <stp>*H</stp>
        <stp>AUDCAD a0-fx</stp>
        <stp>Last</stp>
        <stp>D</stp>
        <stp/>
        <stp>210</stp>
        <tr r="E214" s="1"/>
      </tp>
      <tp t="s">
        <v/>
        <stp/>
        <stp>*H</stp>
        <stp>AUDCAD a0-fx</stp>
        <stp>Last</stp>
        <stp>D</stp>
        <stp/>
        <stp>211</stp>
        <tr r="E215" s="1"/>
      </tp>
      <tp t="s">
        <v/>
        <stp/>
        <stp>*H</stp>
        <stp>AUDCAD a0-fx</stp>
        <stp>Last</stp>
        <stp>D</stp>
        <stp/>
        <stp>218</stp>
        <tr r="E222" s="1"/>
      </tp>
      <tp t="s">
        <v/>
        <stp/>
        <stp>*H</stp>
        <stp>AUDCAD a0-fx</stp>
        <stp>Last</stp>
        <stp>D</stp>
        <stp/>
        <stp>219</stp>
        <tr r="E223" s="1"/>
      </tp>
      <tp t="s">
        <v/>
        <stp/>
        <stp>*H</stp>
        <stp>AUDCAD a0-fx</stp>
        <stp>Open</stp>
        <stp>D</stp>
        <stp/>
        <stp>260</stp>
        <tr r="B264" s="1"/>
      </tp>
      <tp t="s">
        <v/>
        <stp/>
        <stp>*H</stp>
        <stp>AUDCAD a0-fx</stp>
        <stp>Open</stp>
        <stp>D</stp>
        <stp/>
        <stp>261</stp>
        <tr r="B265" s="1"/>
      </tp>
      <tp t="s">
        <v/>
        <stp/>
        <stp>*H</stp>
        <stp>AUDCAD a0-fx</stp>
        <stp>Open</stp>
        <stp>D</stp>
        <stp/>
        <stp>262</stp>
        <tr r="B266" s="1"/>
      </tp>
      <tp t="s">
        <v/>
        <stp/>
        <stp>*H</stp>
        <stp>AUDCAD a0-fx</stp>
        <stp>Open</stp>
        <stp>D</stp>
        <stp/>
        <stp>263</stp>
        <tr r="B267" s="1"/>
      </tp>
      <tp t="s">
        <v/>
        <stp/>
        <stp>*H</stp>
        <stp>AUDCAD a0-fx</stp>
        <stp>Open</stp>
        <stp>D</stp>
        <stp/>
        <stp>264</stp>
        <tr r="B268" s="1"/>
      </tp>
      <tp t="s">
        <v/>
        <stp/>
        <stp>*H</stp>
        <stp>AUDCAD a0-fx</stp>
        <stp>Open</stp>
        <stp>D</stp>
        <stp/>
        <stp>250</stp>
        <tr r="B254" s="1"/>
      </tp>
      <tp t="s">
        <v/>
        <stp/>
        <stp>*H</stp>
        <stp>AUDCAD a0-fx</stp>
        <stp>Open</stp>
        <stp>D</stp>
        <stp/>
        <stp>251</stp>
        <tr r="B255" s="1"/>
      </tp>
      <tp t="s">
        <v/>
        <stp/>
        <stp>*H</stp>
        <stp>AUDCAD a0-fx</stp>
        <stp>Open</stp>
        <stp>D</stp>
        <stp/>
        <stp>252</stp>
        <tr r="B256" s="1"/>
      </tp>
      <tp t="s">
        <v/>
        <stp/>
        <stp>*H</stp>
        <stp>AUDCAD a0-fx</stp>
        <stp>Open</stp>
        <stp>D</stp>
        <stp/>
        <stp>253</stp>
        <tr r="B257" s="1"/>
      </tp>
      <tp t="s">
        <v/>
        <stp/>
        <stp>*H</stp>
        <stp>AUDCAD a0-fx</stp>
        <stp>Open</stp>
        <stp>D</stp>
        <stp/>
        <stp>254</stp>
        <tr r="B258" s="1"/>
      </tp>
      <tp t="s">
        <v/>
        <stp/>
        <stp>*H</stp>
        <stp>AUDCAD a0-fx</stp>
        <stp>Open</stp>
        <stp>D</stp>
        <stp/>
        <stp>255</stp>
        <tr r="B259" s="1"/>
      </tp>
      <tp t="s">
        <v/>
        <stp/>
        <stp>*H</stp>
        <stp>AUDCAD a0-fx</stp>
        <stp>Open</stp>
        <stp>D</stp>
        <stp/>
        <stp>256</stp>
        <tr r="B260" s="1"/>
      </tp>
      <tp t="s">
        <v/>
        <stp/>
        <stp>*H</stp>
        <stp>AUDCAD a0-fx</stp>
        <stp>Open</stp>
        <stp>D</stp>
        <stp/>
        <stp>257</stp>
        <tr r="B261" s="1"/>
      </tp>
      <tp t="s">
        <v/>
        <stp/>
        <stp>*H</stp>
        <stp>AUDCAD a0-fx</stp>
        <stp>Open</stp>
        <stp>D</stp>
        <stp/>
        <stp>258</stp>
        <tr r="B262" s="1"/>
      </tp>
      <tp t="s">
        <v/>
        <stp/>
        <stp>*H</stp>
        <stp>AUDCAD a0-fx</stp>
        <stp>Open</stp>
        <stp>D</stp>
        <stp/>
        <stp>259</stp>
        <tr r="B263" s="1"/>
      </tp>
      <tp t="s">
        <v/>
        <stp/>
        <stp>*H</stp>
        <stp>AUDCAD a0-fx</stp>
        <stp>Open</stp>
        <stp>D</stp>
        <stp/>
        <stp>240</stp>
        <tr r="B244" s="1"/>
      </tp>
      <tp t="s">
        <v/>
        <stp/>
        <stp>*H</stp>
        <stp>AUDCAD a0-fx</stp>
        <stp>Open</stp>
        <stp>D</stp>
        <stp/>
        <stp>241</stp>
        <tr r="B245" s="1"/>
      </tp>
      <tp t="s">
        <v/>
        <stp/>
        <stp>*H</stp>
        <stp>AUDCAD a0-fx</stp>
        <stp>Open</stp>
        <stp>D</stp>
        <stp/>
        <stp>242</stp>
        <tr r="B246" s="1"/>
      </tp>
      <tp t="s">
        <v/>
        <stp/>
        <stp>*H</stp>
        <stp>AUDCAD a0-fx</stp>
        <stp>Open</stp>
        <stp>D</stp>
        <stp/>
        <stp>243</stp>
        <tr r="B247" s="1"/>
      </tp>
      <tp t="s">
        <v/>
        <stp/>
        <stp>*H</stp>
        <stp>AUDCAD a0-fx</stp>
        <stp>Open</stp>
        <stp>D</stp>
        <stp/>
        <stp>244</stp>
        <tr r="B248" s="1"/>
      </tp>
      <tp t="s">
        <v/>
        <stp/>
        <stp>*H</stp>
        <stp>AUDCAD a0-fx</stp>
        <stp>Open</stp>
        <stp>D</stp>
        <stp/>
        <stp>245</stp>
        <tr r="B249" s="1"/>
      </tp>
      <tp t="s">
        <v/>
        <stp/>
        <stp>*H</stp>
        <stp>AUDCAD a0-fx</stp>
        <stp>Open</stp>
        <stp>D</stp>
        <stp/>
        <stp>246</stp>
        <tr r="B250" s="1"/>
      </tp>
      <tp t="s">
        <v/>
        <stp/>
        <stp>*H</stp>
        <stp>AUDCAD a0-fx</stp>
        <stp>Open</stp>
        <stp>D</stp>
        <stp/>
        <stp>247</stp>
        <tr r="B251" s="1"/>
      </tp>
      <tp t="s">
        <v/>
        <stp/>
        <stp>*H</stp>
        <stp>AUDCAD a0-fx</stp>
        <stp>Open</stp>
        <stp>D</stp>
        <stp/>
        <stp>248</stp>
        <tr r="B252" s="1"/>
      </tp>
      <tp t="s">
        <v/>
        <stp/>
        <stp>*H</stp>
        <stp>AUDCAD a0-fx</stp>
        <stp>Open</stp>
        <stp>D</stp>
        <stp/>
        <stp>249</stp>
        <tr r="B253" s="1"/>
      </tp>
      <tp t="s">
        <v/>
        <stp/>
        <stp>*H</stp>
        <stp>AUDCAD a0-fx</stp>
        <stp>Open</stp>
        <stp>D</stp>
        <stp/>
        <stp>230</stp>
        <tr r="B234" s="1"/>
      </tp>
      <tp t="s">
        <v/>
        <stp/>
        <stp>*H</stp>
        <stp>AUDCAD a0-fx</stp>
        <stp>Open</stp>
        <stp>D</stp>
        <stp/>
        <stp>231</stp>
        <tr r="B235" s="1"/>
      </tp>
      <tp t="s">
        <v/>
        <stp/>
        <stp>*H</stp>
        <stp>AUDCAD a0-fx</stp>
        <stp>Open</stp>
        <stp>D</stp>
        <stp/>
        <stp>232</stp>
        <tr r="B236" s="1"/>
      </tp>
      <tp t="s">
        <v/>
        <stp/>
        <stp>*H</stp>
        <stp>AUDCAD a0-fx</stp>
        <stp>Open</stp>
        <stp>D</stp>
        <stp/>
        <stp>233</stp>
        <tr r="B237" s="1"/>
      </tp>
      <tp t="s">
        <v/>
        <stp/>
        <stp>*H</stp>
        <stp>AUDCAD a0-fx</stp>
        <stp>Open</stp>
        <stp>D</stp>
        <stp/>
        <stp>234</stp>
        <tr r="B238" s="1"/>
      </tp>
      <tp t="s">
        <v/>
        <stp/>
        <stp>*H</stp>
        <stp>AUDCAD a0-fx</stp>
        <stp>Open</stp>
        <stp>D</stp>
        <stp/>
        <stp>235</stp>
        <tr r="B239" s="1"/>
      </tp>
      <tp t="s">
        <v/>
        <stp/>
        <stp>*H</stp>
        <stp>AUDCAD a0-fx</stp>
        <stp>Open</stp>
        <stp>D</stp>
        <stp/>
        <stp>236</stp>
        <tr r="B240" s="1"/>
      </tp>
      <tp t="s">
        <v/>
        <stp/>
        <stp>*H</stp>
        <stp>AUDCAD a0-fx</stp>
        <stp>Open</stp>
        <stp>D</stp>
        <stp/>
        <stp>237</stp>
        <tr r="B241" s="1"/>
      </tp>
      <tp t="s">
        <v/>
        <stp/>
        <stp>*H</stp>
        <stp>AUDCAD a0-fx</stp>
        <stp>Open</stp>
        <stp>D</stp>
        <stp/>
        <stp>238</stp>
        <tr r="B242" s="1"/>
      </tp>
      <tp t="s">
        <v/>
        <stp/>
        <stp>*H</stp>
        <stp>AUDCAD a0-fx</stp>
        <stp>Open</stp>
        <stp>D</stp>
        <stp/>
        <stp>239</stp>
        <tr r="B243" s="1"/>
      </tp>
      <tp t="s">
        <v/>
        <stp/>
        <stp>*H</stp>
        <stp>AUDCAD a0-fx</stp>
        <stp>Open</stp>
        <stp>D</stp>
        <stp/>
        <stp>220</stp>
        <tr r="B224" s="1"/>
      </tp>
      <tp t="s">
        <v/>
        <stp/>
        <stp>*H</stp>
        <stp>AUDCAD a0-fx</stp>
        <stp>Open</stp>
        <stp>D</stp>
        <stp/>
        <stp>221</stp>
        <tr r="B225" s="1"/>
      </tp>
      <tp t="s">
        <v/>
        <stp/>
        <stp>*H</stp>
        <stp>AUDCAD a0-fx</stp>
        <stp>Open</stp>
        <stp>D</stp>
        <stp/>
        <stp>222</stp>
        <tr r="B226" s="1"/>
      </tp>
      <tp t="s">
        <v/>
        <stp/>
        <stp>*H</stp>
        <stp>AUDCAD a0-fx</stp>
        <stp>Open</stp>
        <stp>D</stp>
        <stp/>
        <stp>223</stp>
        <tr r="B227" s="1"/>
      </tp>
      <tp t="s">
        <v/>
        <stp/>
        <stp>*H</stp>
        <stp>AUDCAD a0-fx</stp>
        <stp>Open</stp>
        <stp>D</stp>
        <stp/>
        <stp>224</stp>
        <tr r="B228" s="1"/>
      </tp>
      <tp t="s">
        <v/>
        <stp/>
        <stp>*H</stp>
        <stp>AUDCAD a0-fx</stp>
        <stp>Open</stp>
        <stp>D</stp>
        <stp/>
        <stp>225</stp>
        <tr r="B229" s="1"/>
      </tp>
      <tp t="s">
        <v/>
        <stp/>
        <stp>*H</stp>
        <stp>AUDCAD a0-fx</stp>
        <stp>Open</stp>
        <stp>D</stp>
        <stp/>
        <stp>226</stp>
        <tr r="B230" s="1"/>
      </tp>
      <tp t="s">
        <v/>
        <stp/>
        <stp>*H</stp>
        <stp>AUDCAD a0-fx</stp>
        <stp>Open</stp>
        <stp>D</stp>
        <stp/>
        <stp>227</stp>
        <tr r="B231" s="1"/>
      </tp>
      <tp t="s">
        <v/>
        <stp/>
        <stp>*H</stp>
        <stp>AUDCAD a0-fx</stp>
        <stp>Open</stp>
        <stp>D</stp>
        <stp/>
        <stp>228</stp>
        <tr r="B232" s="1"/>
      </tp>
      <tp t="s">
        <v/>
        <stp/>
        <stp>*H</stp>
        <stp>AUDCAD a0-fx</stp>
        <stp>Open</stp>
        <stp>D</stp>
        <stp/>
        <stp>229</stp>
        <tr r="B233" s="1"/>
      </tp>
      <tp t="s">
        <v/>
        <stp/>
        <stp>*H</stp>
        <stp>AUDCAD a0-fx</stp>
        <stp>Open</stp>
        <stp>D</stp>
        <stp/>
        <stp>210</stp>
        <tr r="B214" s="1"/>
      </tp>
      <tp t="s">
        <v/>
        <stp/>
        <stp>*H</stp>
        <stp>AUDCAD a0-fx</stp>
        <stp>Open</stp>
        <stp>D</stp>
        <stp/>
        <stp>211</stp>
        <tr r="B215" s="1"/>
      </tp>
      <tp t="s">
        <v/>
        <stp/>
        <stp>*H</stp>
        <stp>AUDCAD a0-fx</stp>
        <stp>Open</stp>
        <stp>D</stp>
        <stp/>
        <stp>212</stp>
        <tr r="B216" s="1"/>
      </tp>
      <tp t="s">
        <v/>
        <stp/>
        <stp>*H</stp>
        <stp>AUDCAD a0-fx</stp>
        <stp>Open</stp>
        <stp>D</stp>
        <stp/>
        <stp>213</stp>
        <tr r="B217" s="1"/>
      </tp>
      <tp t="s">
        <v/>
        <stp/>
        <stp>*H</stp>
        <stp>AUDCAD a0-fx</stp>
        <stp>Open</stp>
        <stp>D</stp>
        <stp/>
        <stp>214</stp>
        <tr r="B218" s="1"/>
      </tp>
      <tp t="s">
        <v/>
        <stp/>
        <stp>*H</stp>
        <stp>AUDCAD a0-fx</stp>
        <stp>Open</stp>
        <stp>D</stp>
        <stp/>
        <stp>215</stp>
        <tr r="B219" s="1"/>
      </tp>
      <tp t="s">
        <v/>
        <stp/>
        <stp>*H</stp>
        <stp>AUDCAD a0-fx</stp>
        <stp>Open</stp>
        <stp>D</stp>
        <stp/>
        <stp>216</stp>
        <tr r="B220" s="1"/>
      </tp>
      <tp t="s">
        <v/>
        <stp/>
        <stp>*H</stp>
        <stp>AUDCAD a0-fx</stp>
        <stp>Open</stp>
        <stp>D</stp>
        <stp/>
        <stp>217</stp>
        <tr r="B221" s="1"/>
      </tp>
      <tp t="s">
        <v/>
        <stp/>
        <stp>*H</stp>
        <stp>AUDCAD a0-fx</stp>
        <stp>Open</stp>
        <stp>D</stp>
        <stp/>
        <stp>218</stp>
        <tr r="B222" s="1"/>
      </tp>
      <tp t="s">
        <v/>
        <stp/>
        <stp>*H</stp>
        <stp>AUDCAD a0-fx</stp>
        <stp>Open</stp>
        <stp>D</stp>
        <stp/>
        <stp>219</stp>
        <tr r="B223" s="1"/>
      </tp>
      <tp t="s">
        <v/>
        <stp/>
        <stp>*H</stp>
        <stp>AUDCAD a0-fx</stp>
        <stp>Open</stp>
        <stp>D</stp>
        <stp/>
        <stp>200</stp>
        <tr r="B204" s="1"/>
      </tp>
      <tp t="s">
        <v/>
        <stp/>
        <stp>*H</stp>
        <stp>AUDCAD a0-fx</stp>
        <stp>Open</stp>
        <stp>D</stp>
        <stp/>
        <stp>201</stp>
        <tr r="B205" s="1"/>
      </tp>
      <tp t="s">
        <v/>
        <stp/>
        <stp>*H</stp>
        <stp>AUDCAD a0-fx</stp>
        <stp>Open</stp>
        <stp>D</stp>
        <stp/>
        <stp>202</stp>
        <tr r="B206" s="1"/>
      </tp>
      <tp t="s">
        <v/>
        <stp/>
        <stp>*H</stp>
        <stp>AUDCAD a0-fx</stp>
        <stp>Open</stp>
        <stp>D</stp>
        <stp/>
        <stp>203</stp>
        <tr r="B207" s="1"/>
      </tp>
      <tp t="s">
        <v/>
        <stp/>
        <stp>*H</stp>
        <stp>AUDCAD a0-fx</stp>
        <stp>Open</stp>
        <stp>D</stp>
        <stp/>
        <stp>204</stp>
        <tr r="B208" s="1"/>
      </tp>
      <tp t="s">
        <v/>
        <stp/>
        <stp>*H</stp>
        <stp>AUDCAD a0-fx</stp>
        <stp>Open</stp>
        <stp>D</stp>
        <stp/>
        <stp>205</stp>
        <tr r="B209" s="1"/>
      </tp>
      <tp t="s">
        <v/>
        <stp/>
        <stp>*H</stp>
        <stp>AUDCAD a0-fx</stp>
        <stp>Open</stp>
        <stp>D</stp>
        <stp/>
        <stp>206</stp>
        <tr r="B210" s="1"/>
      </tp>
      <tp t="s">
        <v/>
        <stp/>
        <stp>*H</stp>
        <stp>AUDCAD a0-fx</stp>
        <stp>Open</stp>
        <stp>D</stp>
        <stp/>
        <stp>207</stp>
        <tr r="B211" s="1"/>
      </tp>
      <tp t="s">
        <v/>
        <stp/>
        <stp>*H</stp>
        <stp>AUDCAD a0-fx</stp>
        <stp>Open</stp>
        <stp>D</stp>
        <stp/>
        <stp>208</stp>
        <tr r="B212" s="1"/>
      </tp>
      <tp t="s">
        <v/>
        <stp/>
        <stp>*H</stp>
        <stp>AUDCAD a0-fx</stp>
        <stp>Open</stp>
        <stp>D</stp>
        <stp/>
        <stp>209</stp>
        <tr r="B213" s="1"/>
      </tp>
      <tp t="s">
        <v/>
        <stp/>
        <stp>*H</stp>
        <stp>AUDCAD a0-fx</stp>
        <stp>Last</stp>
        <stp>D</stp>
        <stp/>
        <stp>186</stp>
        <tr r="E190" s="1"/>
      </tp>
      <tp t="s">
        <v/>
        <stp/>
        <stp>*H</stp>
        <stp>AUDCAD a0-fx</stp>
        <stp>Last</stp>
        <stp>D</stp>
        <stp/>
        <stp>187</stp>
        <tr r="E191" s="1"/>
      </tp>
      <tp t="s">
        <v/>
        <stp/>
        <stp>*H</stp>
        <stp>AUDCAD a0-fx</stp>
        <stp>Last</stp>
        <stp>D</stp>
        <stp/>
        <stp>184</stp>
        <tr r="E188" s="1"/>
      </tp>
      <tp t="s">
        <v/>
        <stp/>
        <stp>*H</stp>
        <stp>AUDCAD a0-fx</stp>
        <stp>Last</stp>
        <stp>D</stp>
        <stp/>
        <stp>185</stp>
        <tr r="E189" s="1"/>
      </tp>
      <tp t="s">
        <v/>
        <stp/>
        <stp>*H</stp>
        <stp>AUDCAD a0-fx</stp>
        <stp>Last</stp>
        <stp>D</stp>
        <stp/>
        <stp>182</stp>
        <tr r="E186" s="1"/>
      </tp>
      <tp t="s">
        <v/>
        <stp/>
        <stp>*H</stp>
        <stp>AUDCAD a0-fx</stp>
        <stp>Last</stp>
        <stp>D</stp>
        <stp/>
        <stp>183</stp>
        <tr r="E187" s="1"/>
      </tp>
      <tp t="s">
        <v/>
        <stp/>
        <stp>*H</stp>
        <stp>AUDCAD a0-fx</stp>
        <stp>Last</stp>
        <stp>D</stp>
        <stp/>
        <stp>180</stp>
        <tr r="E184" s="1"/>
      </tp>
      <tp t="s">
        <v/>
        <stp/>
        <stp>*H</stp>
        <stp>AUDCAD a0-fx</stp>
        <stp>Last</stp>
        <stp>D</stp>
        <stp/>
        <stp>181</stp>
        <tr r="E185" s="1"/>
      </tp>
      <tp t="s">
        <v/>
        <stp/>
        <stp>*H</stp>
        <stp>AUDCAD a0-fx</stp>
        <stp>Last</stp>
        <stp>D</stp>
        <stp/>
        <stp>188</stp>
        <tr r="E192" s="1"/>
      </tp>
      <tp t="s">
        <v/>
        <stp/>
        <stp>*H</stp>
        <stp>AUDCAD a0-fx</stp>
        <stp>Last</stp>
        <stp>D</stp>
        <stp/>
        <stp>189</stp>
        <tr r="E193" s="1"/>
      </tp>
      <tp t="s">
        <v/>
        <stp/>
        <stp>*H</stp>
        <stp>AUDCAD a0-fx</stp>
        <stp>Last</stp>
        <stp>D</stp>
        <stp/>
        <stp>196</stp>
        <tr r="E200" s="1"/>
      </tp>
      <tp t="s">
        <v/>
        <stp/>
        <stp>*H</stp>
        <stp>AUDCAD a0-fx</stp>
        <stp>Last</stp>
        <stp>D</stp>
        <stp/>
        <stp>197</stp>
        <tr r="E201" s="1"/>
      </tp>
      <tp t="s">
        <v/>
        <stp/>
        <stp>*H</stp>
        <stp>AUDCAD a0-fx</stp>
        <stp>Last</stp>
        <stp>D</stp>
        <stp/>
        <stp>194</stp>
        <tr r="E198" s="1"/>
      </tp>
      <tp t="s">
        <v/>
        <stp/>
        <stp>*H</stp>
        <stp>AUDCAD a0-fx</stp>
        <stp>Last</stp>
        <stp>D</stp>
        <stp/>
        <stp>195</stp>
        <tr r="E199" s="1"/>
      </tp>
      <tp t="s">
        <v/>
        <stp/>
        <stp>*H</stp>
        <stp>AUDCAD a0-fx</stp>
        <stp>Last</stp>
        <stp>D</stp>
        <stp/>
        <stp>192</stp>
        <tr r="E196" s="1"/>
      </tp>
      <tp t="s">
        <v/>
        <stp/>
        <stp>*H</stp>
        <stp>AUDCAD a0-fx</stp>
        <stp>Last</stp>
        <stp>D</stp>
        <stp/>
        <stp>193</stp>
        <tr r="E197" s="1"/>
      </tp>
      <tp t="s">
        <v/>
        <stp/>
        <stp>*H</stp>
        <stp>AUDCAD a0-fx</stp>
        <stp>Last</stp>
        <stp>D</stp>
        <stp/>
        <stp>190</stp>
        <tr r="E194" s="1"/>
      </tp>
      <tp t="s">
        <v/>
        <stp/>
        <stp>*H</stp>
        <stp>AUDCAD a0-fx</stp>
        <stp>Last</stp>
        <stp>D</stp>
        <stp/>
        <stp>191</stp>
        <tr r="E195" s="1"/>
      </tp>
      <tp t="s">
        <v/>
        <stp/>
        <stp>*H</stp>
        <stp>AUDCAD a0-fx</stp>
        <stp>Last</stp>
        <stp>D</stp>
        <stp/>
        <stp>198</stp>
        <tr r="E202" s="1"/>
      </tp>
      <tp t="s">
        <v/>
        <stp/>
        <stp>*H</stp>
        <stp>AUDCAD a0-fx</stp>
        <stp>Last</stp>
        <stp>D</stp>
        <stp/>
        <stp>199</stp>
        <tr r="E203" s="1"/>
      </tp>
      <tp t="s">
        <v/>
        <stp/>
        <stp>*H</stp>
        <stp>AUDCAD a0-fx</stp>
        <stp>Last</stp>
        <stp>D</stp>
        <stp/>
        <stp>166</stp>
        <tr r="E170" s="1"/>
      </tp>
      <tp t="s">
        <v/>
        <stp/>
        <stp>*H</stp>
        <stp>AUDCAD a0-fx</stp>
        <stp>Last</stp>
        <stp>D</stp>
        <stp/>
        <stp>167</stp>
        <tr r="E171" s="1"/>
      </tp>
      <tp t="s">
        <v/>
        <stp/>
        <stp>*H</stp>
        <stp>AUDCAD a0-fx</stp>
        <stp>Last</stp>
        <stp>D</stp>
        <stp/>
        <stp>164</stp>
        <tr r="E168" s="1"/>
      </tp>
      <tp t="s">
        <v/>
        <stp/>
        <stp>*H</stp>
        <stp>AUDCAD a0-fx</stp>
        <stp>Last</stp>
        <stp>D</stp>
        <stp/>
        <stp>165</stp>
        <tr r="E169" s="1"/>
      </tp>
      <tp t="s">
        <v/>
        <stp/>
        <stp>*H</stp>
        <stp>AUDCAD a0-fx</stp>
        <stp>Last</stp>
        <stp>D</stp>
        <stp/>
        <stp>162</stp>
        <tr r="E166" s="1"/>
      </tp>
      <tp t="s">
        <v/>
        <stp/>
        <stp>*H</stp>
        <stp>AUDCAD a0-fx</stp>
        <stp>Last</stp>
        <stp>D</stp>
        <stp/>
        <stp>163</stp>
        <tr r="E167" s="1"/>
      </tp>
      <tp t="s">
        <v/>
        <stp/>
        <stp>*H</stp>
        <stp>AUDCAD a0-fx</stp>
        <stp>Last</stp>
        <stp>D</stp>
        <stp/>
        <stp>160</stp>
        <tr r="E164" s="1"/>
      </tp>
      <tp t="s">
        <v/>
        <stp/>
        <stp>*H</stp>
        <stp>AUDCAD a0-fx</stp>
        <stp>Last</stp>
        <stp>D</stp>
        <stp/>
        <stp>161</stp>
        <tr r="E165" s="1"/>
      </tp>
      <tp t="s">
        <v/>
        <stp/>
        <stp>*H</stp>
        <stp>AUDCAD a0-fx</stp>
        <stp>Last</stp>
        <stp>D</stp>
        <stp/>
        <stp>168</stp>
        <tr r="E172" s="1"/>
      </tp>
      <tp t="s">
        <v/>
        <stp/>
        <stp>*H</stp>
        <stp>AUDCAD a0-fx</stp>
        <stp>Last</stp>
        <stp>D</stp>
        <stp/>
        <stp>169</stp>
        <tr r="E173" s="1"/>
      </tp>
      <tp t="s">
        <v/>
        <stp/>
        <stp>*H</stp>
        <stp>AUDCAD a0-fx</stp>
        <stp>Last</stp>
        <stp>D</stp>
        <stp/>
        <stp>176</stp>
        <tr r="E180" s="1"/>
      </tp>
      <tp t="s">
        <v/>
        <stp/>
        <stp>*H</stp>
        <stp>AUDCAD a0-fx</stp>
        <stp>Last</stp>
        <stp>D</stp>
        <stp/>
        <stp>177</stp>
        <tr r="E181" s="1"/>
      </tp>
      <tp t="s">
        <v/>
        <stp/>
        <stp>*H</stp>
        <stp>AUDCAD a0-fx</stp>
        <stp>Last</stp>
        <stp>D</stp>
        <stp/>
        <stp>174</stp>
        <tr r="E178" s="1"/>
      </tp>
      <tp t="s">
        <v/>
        <stp/>
        <stp>*H</stp>
        <stp>AUDCAD a0-fx</stp>
        <stp>Last</stp>
        <stp>D</stp>
        <stp/>
        <stp>175</stp>
        <tr r="E179" s="1"/>
      </tp>
      <tp t="s">
        <v/>
        <stp/>
        <stp>*H</stp>
        <stp>AUDCAD a0-fx</stp>
        <stp>Last</stp>
        <stp>D</stp>
        <stp/>
        <stp>172</stp>
        <tr r="E176" s="1"/>
      </tp>
      <tp t="s">
        <v/>
        <stp/>
        <stp>*H</stp>
        <stp>AUDCAD a0-fx</stp>
        <stp>Last</stp>
        <stp>D</stp>
        <stp/>
        <stp>173</stp>
        <tr r="E177" s="1"/>
      </tp>
      <tp t="s">
        <v/>
        <stp/>
        <stp>*H</stp>
        <stp>AUDCAD a0-fx</stp>
        <stp>Last</stp>
        <stp>D</stp>
        <stp/>
        <stp>170</stp>
        <tr r="E174" s="1"/>
      </tp>
      <tp t="s">
        <v/>
        <stp/>
        <stp>*H</stp>
        <stp>AUDCAD a0-fx</stp>
        <stp>Last</stp>
        <stp>D</stp>
        <stp/>
        <stp>171</stp>
        <tr r="E175" s="1"/>
      </tp>
      <tp t="s">
        <v/>
        <stp/>
        <stp>*H</stp>
        <stp>AUDCAD a0-fx</stp>
        <stp>Last</stp>
        <stp>D</stp>
        <stp/>
        <stp>178</stp>
        <tr r="E182" s="1"/>
      </tp>
      <tp t="s">
        <v/>
        <stp/>
        <stp>*H</stp>
        <stp>AUDCAD a0-fx</stp>
        <stp>Last</stp>
        <stp>D</stp>
        <stp/>
        <stp>179</stp>
        <tr r="E183" s="1"/>
      </tp>
      <tp t="s">
        <v/>
        <stp/>
        <stp>*H</stp>
        <stp>AUDCAD a0-fx</stp>
        <stp>Last</stp>
        <stp>D</stp>
        <stp/>
        <stp>146</stp>
        <tr r="E150" s="1"/>
      </tp>
      <tp t="s">
        <v/>
        <stp/>
        <stp>*H</stp>
        <stp>AUDCAD a0-fx</stp>
        <stp>Last</stp>
        <stp>D</stp>
        <stp/>
        <stp>147</stp>
        <tr r="E151" s="1"/>
      </tp>
      <tp t="s">
        <v/>
        <stp/>
        <stp>*H</stp>
        <stp>AUDCAD a0-fx</stp>
        <stp>Last</stp>
        <stp>D</stp>
        <stp/>
        <stp>144</stp>
        <tr r="E148" s="1"/>
      </tp>
      <tp t="s">
        <v/>
        <stp/>
        <stp>*H</stp>
        <stp>AUDCAD a0-fx</stp>
        <stp>Last</stp>
        <stp>D</stp>
        <stp/>
        <stp>145</stp>
        <tr r="E149" s="1"/>
      </tp>
      <tp t="s">
        <v/>
        <stp/>
        <stp>*H</stp>
        <stp>AUDCAD a0-fx</stp>
        <stp>Last</stp>
        <stp>D</stp>
        <stp/>
        <stp>142</stp>
        <tr r="E146" s="1"/>
      </tp>
      <tp t="s">
        <v/>
        <stp/>
        <stp>*H</stp>
        <stp>AUDCAD a0-fx</stp>
        <stp>Last</stp>
        <stp>D</stp>
        <stp/>
        <stp>143</stp>
        <tr r="E147" s="1"/>
      </tp>
      <tp t="s">
        <v/>
        <stp/>
        <stp>*H</stp>
        <stp>AUDCAD a0-fx</stp>
        <stp>Last</stp>
        <stp>D</stp>
        <stp/>
        <stp>140</stp>
        <tr r="E144" s="1"/>
      </tp>
      <tp t="s">
        <v/>
        <stp/>
        <stp>*H</stp>
        <stp>AUDCAD a0-fx</stp>
        <stp>Last</stp>
        <stp>D</stp>
        <stp/>
        <stp>141</stp>
        <tr r="E145" s="1"/>
      </tp>
      <tp t="s">
        <v/>
        <stp/>
        <stp>*H</stp>
        <stp>AUDCAD a0-fx</stp>
        <stp>Last</stp>
        <stp>D</stp>
        <stp/>
        <stp>148</stp>
        <tr r="E152" s="1"/>
      </tp>
      <tp t="s">
        <v/>
        <stp/>
        <stp>*H</stp>
        <stp>AUDCAD a0-fx</stp>
        <stp>Last</stp>
        <stp>D</stp>
        <stp/>
        <stp>149</stp>
        <tr r="E153" s="1"/>
      </tp>
      <tp t="s">
        <v/>
        <stp/>
        <stp>*H</stp>
        <stp>AUDCAD a0-fx</stp>
        <stp>Last</stp>
        <stp>D</stp>
        <stp/>
        <stp>156</stp>
        <tr r="E160" s="1"/>
      </tp>
      <tp t="s">
        <v/>
        <stp/>
        <stp>*H</stp>
        <stp>AUDCAD a0-fx</stp>
        <stp>Last</stp>
        <stp>D</stp>
        <stp/>
        <stp>157</stp>
        <tr r="E161" s="1"/>
      </tp>
      <tp t="s">
        <v/>
        <stp/>
        <stp>*H</stp>
        <stp>AUDCAD a0-fx</stp>
        <stp>Last</stp>
        <stp>D</stp>
        <stp/>
        <stp>154</stp>
        <tr r="E158" s="1"/>
      </tp>
      <tp t="s">
        <v/>
        <stp/>
        <stp>*H</stp>
        <stp>AUDCAD a0-fx</stp>
        <stp>Last</stp>
        <stp>D</stp>
        <stp/>
        <stp>155</stp>
        <tr r="E159" s="1"/>
      </tp>
      <tp t="s">
        <v/>
        <stp/>
        <stp>*H</stp>
        <stp>AUDCAD a0-fx</stp>
        <stp>Last</stp>
        <stp>D</stp>
        <stp/>
        <stp>152</stp>
        <tr r="E156" s="1"/>
      </tp>
      <tp t="s">
        <v/>
        <stp/>
        <stp>*H</stp>
        <stp>AUDCAD a0-fx</stp>
        <stp>Last</stp>
        <stp>D</stp>
        <stp/>
        <stp>153</stp>
        <tr r="E157" s="1"/>
      </tp>
      <tp t="s">
        <v/>
        <stp/>
        <stp>*H</stp>
        <stp>AUDCAD a0-fx</stp>
        <stp>Last</stp>
        <stp>D</stp>
        <stp/>
        <stp>150</stp>
        <tr r="E154" s="1"/>
      </tp>
      <tp t="s">
        <v/>
        <stp/>
        <stp>*H</stp>
        <stp>AUDCAD a0-fx</stp>
        <stp>Last</stp>
        <stp>D</stp>
        <stp/>
        <stp>151</stp>
        <tr r="E155" s="1"/>
      </tp>
      <tp t="s">
        <v/>
        <stp/>
        <stp>*H</stp>
        <stp>AUDCAD a0-fx</stp>
        <stp>Last</stp>
        <stp>D</stp>
        <stp/>
        <stp>158</stp>
        <tr r="E162" s="1"/>
      </tp>
      <tp t="s">
        <v/>
        <stp/>
        <stp>*H</stp>
        <stp>AUDCAD a0-fx</stp>
        <stp>Last</stp>
        <stp>D</stp>
        <stp/>
        <stp>159</stp>
        <tr r="E163" s="1"/>
      </tp>
      <tp t="s">
        <v/>
        <stp/>
        <stp>*H</stp>
        <stp>AUDCAD a0-fx</stp>
        <stp>Last</stp>
        <stp>D</stp>
        <stp/>
        <stp>126</stp>
        <tr r="E130" s="1"/>
      </tp>
      <tp t="s">
        <v/>
        <stp/>
        <stp>*H</stp>
        <stp>AUDCAD a0-fx</stp>
        <stp>Last</stp>
        <stp>D</stp>
        <stp/>
        <stp>127</stp>
        <tr r="E131" s="1"/>
      </tp>
      <tp t="s">
        <v/>
        <stp/>
        <stp>*H</stp>
        <stp>AUDCAD a0-fx</stp>
        <stp>Last</stp>
        <stp>D</stp>
        <stp/>
        <stp>124</stp>
        <tr r="E128" s="1"/>
      </tp>
      <tp t="s">
        <v/>
        <stp/>
        <stp>*H</stp>
        <stp>AUDCAD a0-fx</stp>
        <stp>Last</stp>
        <stp>D</stp>
        <stp/>
        <stp>125</stp>
        <tr r="E129" s="1"/>
      </tp>
      <tp t="s">
        <v/>
        <stp/>
        <stp>*H</stp>
        <stp>AUDCAD a0-fx</stp>
        <stp>Last</stp>
        <stp>D</stp>
        <stp/>
        <stp>122</stp>
        <tr r="E126" s="1"/>
      </tp>
      <tp t="s">
        <v/>
        <stp/>
        <stp>*H</stp>
        <stp>AUDCAD a0-fx</stp>
        <stp>Last</stp>
        <stp>D</stp>
        <stp/>
        <stp>123</stp>
        <tr r="E127" s="1"/>
      </tp>
      <tp t="s">
        <v/>
        <stp/>
        <stp>*H</stp>
        <stp>AUDCAD a0-fx</stp>
        <stp>Last</stp>
        <stp>D</stp>
        <stp/>
        <stp>120</stp>
        <tr r="E124" s="1"/>
      </tp>
      <tp t="s">
        <v/>
        <stp/>
        <stp>*H</stp>
        <stp>AUDCAD a0-fx</stp>
        <stp>Last</stp>
        <stp>D</stp>
        <stp/>
        <stp>121</stp>
        <tr r="E125" s="1"/>
      </tp>
      <tp t="s">
        <v/>
        <stp/>
        <stp>*H</stp>
        <stp>AUDCAD a0-fx</stp>
        <stp>Last</stp>
        <stp>D</stp>
        <stp/>
        <stp>128</stp>
        <tr r="E132" s="1"/>
      </tp>
      <tp t="s">
        <v/>
        <stp/>
        <stp>*H</stp>
        <stp>AUDCAD a0-fx</stp>
        <stp>Last</stp>
        <stp>D</stp>
        <stp/>
        <stp>129</stp>
        <tr r="E133" s="1"/>
      </tp>
      <tp t="s">
        <v/>
        <stp/>
        <stp>*H</stp>
        <stp>AUDCAD a0-fx</stp>
        <stp>Last</stp>
        <stp>D</stp>
        <stp/>
        <stp>136</stp>
        <tr r="E140" s="1"/>
      </tp>
      <tp t="s">
        <v/>
        <stp/>
        <stp>*H</stp>
        <stp>AUDCAD a0-fx</stp>
        <stp>Last</stp>
        <stp>D</stp>
        <stp/>
        <stp>137</stp>
        <tr r="E141" s="1"/>
      </tp>
      <tp t="s">
        <v/>
        <stp/>
        <stp>*H</stp>
        <stp>AUDCAD a0-fx</stp>
        <stp>Last</stp>
        <stp>D</stp>
        <stp/>
        <stp>134</stp>
        <tr r="E138" s="1"/>
      </tp>
      <tp t="s">
        <v/>
        <stp/>
        <stp>*H</stp>
        <stp>AUDCAD a0-fx</stp>
        <stp>Last</stp>
        <stp>D</stp>
        <stp/>
        <stp>135</stp>
        <tr r="E139" s="1"/>
      </tp>
      <tp t="s">
        <v/>
        <stp/>
        <stp>*H</stp>
        <stp>AUDCAD a0-fx</stp>
        <stp>Last</stp>
        <stp>D</stp>
        <stp/>
        <stp>132</stp>
        <tr r="E136" s="1"/>
      </tp>
      <tp t="s">
        <v/>
        <stp/>
        <stp>*H</stp>
        <stp>AUDCAD a0-fx</stp>
        <stp>Last</stp>
        <stp>D</stp>
        <stp/>
        <stp>133</stp>
        <tr r="E137" s="1"/>
      </tp>
      <tp t="s">
        <v/>
        <stp/>
        <stp>*H</stp>
        <stp>AUDCAD a0-fx</stp>
        <stp>Last</stp>
        <stp>D</stp>
        <stp/>
        <stp>130</stp>
        <tr r="E134" s="1"/>
      </tp>
      <tp t="s">
        <v/>
        <stp/>
        <stp>*H</stp>
        <stp>AUDCAD a0-fx</stp>
        <stp>Last</stp>
        <stp>D</stp>
        <stp/>
        <stp>131</stp>
        <tr r="E135" s="1"/>
      </tp>
      <tp t="s">
        <v/>
        <stp/>
        <stp>*H</stp>
        <stp>AUDCAD a0-fx</stp>
        <stp>Last</stp>
        <stp>D</stp>
        <stp/>
        <stp>138</stp>
        <tr r="E142" s="1"/>
      </tp>
      <tp t="s">
        <v/>
        <stp/>
        <stp>*H</stp>
        <stp>AUDCAD a0-fx</stp>
        <stp>Last</stp>
        <stp>D</stp>
        <stp/>
        <stp>139</stp>
        <tr r="E143" s="1"/>
      </tp>
      <tp t="s">
        <v/>
        <stp/>
        <stp>*H</stp>
        <stp>AUDCAD a0-fx</stp>
        <stp>Last</stp>
        <stp>D</stp>
        <stp/>
        <stp>106</stp>
        <tr r="E110" s="1"/>
      </tp>
      <tp t="s">
        <v/>
        <stp/>
        <stp>*H</stp>
        <stp>AUDCAD a0-fx</stp>
        <stp>Last</stp>
        <stp>D</stp>
        <stp/>
        <stp>107</stp>
        <tr r="E111" s="1"/>
      </tp>
      <tp t="s">
        <v/>
        <stp/>
        <stp>*H</stp>
        <stp>AUDCAD a0-fx</stp>
        <stp>Last</stp>
        <stp>D</stp>
        <stp/>
        <stp>104</stp>
        <tr r="E108" s="1"/>
      </tp>
      <tp t="s">
        <v/>
        <stp/>
        <stp>*H</stp>
        <stp>AUDCAD a0-fx</stp>
        <stp>Last</stp>
        <stp>D</stp>
        <stp/>
        <stp>105</stp>
        <tr r="E109" s="1"/>
      </tp>
      <tp t="s">
        <v/>
        <stp/>
        <stp>*H</stp>
        <stp>AUDCAD a0-fx</stp>
        <stp>Last</stp>
        <stp>D</stp>
        <stp/>
        <stp>102</stp>
        <tr r="E106" s="1"/>
      </tp>
      <tp t="s">
        <v/>
        <stp/>
        <stp>*H</stp>
        <stp>AUDCAD a0-fx</stp>
        <stp>Last</stp>
        <stp>D</stp>
        <stp/>
        <stp>103</stp>
        <tr r="E107" s="1"/>
      </tp>
      <tp t="s">
        <v/>
        <stp/>
        <stp>*H</stp>
        <stp>AUDCAD a0-fx</stp>
        <stp>Last</stp>
        <stp>D</stp>
        <stp/>
        <stp>100</stp>
        <tr r="E104" s="1"/>
      </tp>
      <tp t="s">
        <v/>
        <stp/>
        <stp>*H</stp>
        <stp>AUDCAD a0-fx</stp>
        <stp>Last</stp>
        <stp>D</stp>
        <stp/>
        <stp>101</stp>
        <tr r="E105" s="1"/>
      </tp>
      <tp t="s">
        <v/>
        <stp/>
        <stp>*H</stp>
        <stp>AUDCAD a0-fx</stp>
        <stp>Last</stp>
        <stp>D</stp>
        <stp/>
        <stp>108</stp>
        <tr r="E112" s="1"/>
      </tp>
      <tp t="s">
        <v/>
        <stp/>
        <stp>*H</stp>
        <stp>AUDCAD a0-fx</stp>
        <stp>Last</stp>
        <stp>D</stp>
        <stp/>
        <stp>109</stp>
        <tr r="E113" s="1"/>
      </tp>
      <tp t="s">
        <v/>
        <stp/>
        <stp>*H</stp>
        <stp>AUDCAD a0-fx</stp>
        <stp>Last</stp>
        <stp>D</stp>
        <stp/>
        <stp>116</stp>
        <tr r="E120" s="1"/>
      </tp>
      <tp t="s">
        <v/>
        <stp/>
        <stp>*H</stp>
        <stp>AUDCAD a0-fx</stp>
        <stp>Last</stp>
        <stp>D</stp>
        <stp/>
        <stp>117</stp>
        <tr r="E121" s="1"/>
      </tp>
      <tp t="s">
        <v/>
        <stp/>
        <stp>*H</stp>
        <stp>AUDCAD a0-fx</stp>
        <stp>Last</stp>
        <stp>D</stp>
        <stp/>
        <stp>114</stp>
        <tr r="E118" s="1"/>
      </tp>
      <tp t="s">
        <v/>
        <stp/>
        <stp>*H</stp>
        <stp>AUDCAD a0-fx</stp>
        <stp>Last</stp>
        <stp>D</stp>
        <stp/>
        <stp>115</stp>
        <tr r="E119" s="1"/>
      </tp>
      <tp t="s">
        <v/>
        <stp/>
        <stp>*H</stp>
        <stp>AUDCAD a0-fx</stp>
        <stp>Last</stp>
        <stp>D</stp>
        <stp/>
        <stp>112</stp>
        <tr r="E116" s="1"/>
      </tp>
      <tp t="s">
        <v/>
        <stp/>
        <stp>*H</stp>
        <stp>AUDCAD a0-fx</stp>
        <stp>Last</stp>
        <stp>D</stp>
        <stp/>
        <stp>113</stp>
        <tr r="E117" s="1"/>
      </tp>
      <tp t="s">
        <v/>
        <stp/>
        <stp>*H</stp>
        <stp>AUDCAD a0-fx</stp>
        <stp>Last</stp>
        <stp>D</stp>
        <stp/>
        <stp>110</stp>
        <tr r="E114" s="1"/>
      </tp>
      <tp t="s">
        <v/>
        <stp/>
        <stp>*H</stp>
        <stp>AUDCAD a0-fx</stp>
        <stp>Last</stp>
        <stp>D</stp>
        <stp/>
        <stp>111</stp>
        <tr r="E115" s="1"/>
      </tp>
      <tp t="s">
        <v/>
        <stp/>
        <stp>*H</stp>
        <stp>AUDCAD a0-fx</stp>
        <stp>Last</stp>
        <stp>D</stp>
        <stp/>
        <stp>118</stp>
        <tr r="E122" s="1"/>
      </tp>
      <tp t="s">
        <v/>
        <stp/>
        <stp>*H</stp>
        <stp>AUDCAD a0-fx</stp>
        <stp>Last</stp>
        <stp>D</stp>
        <stp/>
        <stp>119</stp>
        <tr r="E123" s="1"/>
      </tp>
      <tp t="s">
        <v/>
        <stp/>
        <stp>*H</stp>
        <stp>AUDCAD a0-fx</stp>
        <stp>High</stp>
        <stp>D</stp>
        <stp/>
        <stp>262</stp>
        <tr r="C266" s="1"/>
      </tp>
      <tp t="s">
        <v/>
        <stp/>
        <stp>*H</stp>
        <stp>AUDCAD a0-fx</stp>
        <stp>High</stp>
        <stp>D</stp>
        <stp/>
        <stp>263</stp>
        <tr r="C267" s="1"/>
      </tp>
      <tp t="s">
        <v/>
        <stp/>
        <stp>*H</stp>
        <stp>AUDCAD a0-fx</stp>
        <stp>High</stp>
        <stp>D</stp>
        <stp/>
        <stp>260</stp>
        <tr r="C264" s="1"/>
      </tp>
      <tp t="s">
        <v/>
        <stp/>
        <stp>*H</stp>
        <stp>AUDCAD a0-fx</stp>
        <stp>High</stp>
        <stp>D</stp>
        <stp/>
        <stp>261</stp>
        <tr r="C265" s="1"/>
      </tp>
      <tp t="s">
        <v/>
        <stp/>
        <stp>*H</stp>
        <stp>AUDCAD a0-fx</stp>
        <stp>High</stp>
        <stp>D</stp>
        <stp/>
        <stp>264</stp>
        <tr r="C268" s="1"/>
      </tp>
      <tp t="s">
        <v/>
        <stp/>
        <stp>*H</stp>
        <stp>AUDCAD a0-fx</stp>
        <stp>High</stp>
        <stp>D</stp>
        <stp/>
        <stp>242</stp>
        <tr r="C246" s="1"/>
      </tp>
      <tp t="s">
        <v/>
        <stp/>
        <stp>*H</stp>
        <stp>AUDCAD a0-fx</stp>
        <stp>High</stp>
        <stp>D</stp>
        <stp/>
        <stp>243</stp>
        <tr r="C247" s="1"/>
      </tp>
      <tp t="s">
        <v/>
        <stp/>
        <stp>*H</stp>
        <stp>AUDCAD a0-fx</stp>
        <stp>High</stp>
        <stp>D</stp>
        <stp/>
        <stp>240</stp>
        <tr r="C244" s="1"/>
      </tp>
      <tp t="s">
        <v/>
        <stp/>
        <stp>*H</stp>
        <stp>AUDCAD a0-fx</stp>
        <stp>High</stp>
        <stp>D</stp>
        <stp/>
        <stp>241</stp>
        <tr r="C245" s="1"/>
      </tp>
      <tp t="s">
        <v/>
        <stp/>
        <stp>*H</stp>
        <stp>AUDCAD a0-fx</stp>
        <stp>High</stp>
        <stp>D</stp>
        <stp/>
        <stp>246</stp>
        <tr r="C250" s="1"/>
      </tp>
      <tp t="s">
        <v/>
        <stp/>
        <stp>*H</stp>
        <stp>AUDCAD a0-fx</stp>
        <stp>High</stp>
        <stp>D</stp>
        <stp/>
        <stp>247</stp>
        <tr r="C251" s="1"/>
      </tp>
      <tp t="s">
        <v/>
        <stp/>
        <stp>*H</stp>
        <stp>AUDCAD a0-fx</stp>
        <stp>High</stp>
        <stp>D</stp>
        <stp/>
        <stp>244</stp>
        <tr r="C248" s="1"/>
      </tp>
      <tp t="s">
        <v/>
        <stp/>
        <stp>*H</stp>
        <stp>AUDCAD a0-fx</stp>
        <stp>High</stp>
        <stp>D</stp>
        <stp/>
        <stp>245</stp>
        <tr r="C249" s="1"/>
      </tp>
      <tp t="s">
        <v/>
        <stp/>
        <stp>*H</stp>
        <stp>AUDCAD a0-fx</stp>
        <stp>High</stp>
        <stp>D</stp>
        <stp/>
        <stp>248</stp>
        <tr r="C252" s="1"/>
      </tp>
      <tp t="s">
        <v/>
        <stp/>
        <stp>*H</stp>
        <stp>AUDCAD a0-fx</stp>
        <stp>High</stp>
        <stp>D</stp>
        <stp/>
        <stp>249</stp>
        <tr r="C253" s="1"/>
      </tp>
      <tp t="s">
        <v/>
        <stp/>
        <stp>*H</stp>
        <stp>AUDCAD a0-fx</stp>
        <stp>High</stp>
        <stp>D</stp>
        <stp/>
        <stp>252</stp>
        <tr r="C256" s="1"/>
      </tp>
      <tp t="s">
        <v/>
        <stp/>
        <stp>*H</stp>
        <stp>AUDCAD a0-fx</stp>
        <stp>High</stp>
        <stp>D</stp>
        <stp/>
        <stp>253</stp>
        <tr r="C257" s="1"/>
      </tp>
      <tp t="s">
        <v/>
        <stp/>
        <stp>*H</stp>
        <stp>AUDCAD a0-fx</stp>
        <stp>High</stp>
        <stp>D</stp>
        <stp/>
        <stp>250</stp>
        <tr r="C254" s="1"/>
      </tp>
      <tp t="s">
        <v/>
        <stp/>
        <stp>*H</stp>
        <stp>AUDCAD a0-fx</stp>
        <stp>High</stp>
        <stp>D</stp>
        <stp/>
        <stp>251</stp>
        <tr r="C255" s="1"/>
      </tp>
      <tp t="s">
        <v/>
        <stp/>
        <stp>*H</stp>
        <stp>AUDCAD a0-fx</stp>
        <stp>High</stp>
        <stp>D</stp>
        <stp/>
        <stp>256</stp>
        <tr r="C260" s="1"/>
      </tp>
      <tp t="s">
        <v/>
        <stp/>
        <stp>*H</stp>
        <stp>AUDCAD a0-fx</stp>
        <stp>High</stp>
        <stp>D</stp>
        <stp/>
        <stp>257</stp>
        <tr r="C261" s="1"/>
      </tp>
      <tp t="s">
        <v/>
        <stp/>
        <stp>*H</stp>
        <stp>AUDCAD a0-fx</stp>
        <stp>High</stp>
        <stp>D</stp>
        <stp/>
        <stp>254</stp>
        <tr r="C258" s="1"/>
      </tp>
      <tp t="s">
        <v/>
        <stp/>
        <stp>*H</stp>
        <stp>AUDCAD a0-fx</stp>
        <stp>High</stp>
        <stp>D</stp>
        <stp/>
        <stp>255</stp>
        <tr r="C259" s="1"/>
      </tp>
      <tp t="s">
        <v/>
        <stp/>
        <stp>*H</stp>
        <stp>AUDCAD a0-fx</stp>
        <stp>High</stp>
        <stp>D</stp>
        <stp/>
        <stp>258</stp>
        <tr r="C262" s="1"/>
      </tp>
      <tp t="s">
        <v/>
        <stp/>
        <stp>*H</stp>
        <stp>AUDCAD a0-fx</stp>
        <stp>High</stp>
        <stp>D</stp>
        <stp/>
        <stp>259</stp>
        <tr r="C263" s="1"/>
      </tp>
      <tp t="s">
        <v/>
        <stp/>
        <stp>*H</stp>
        <stp>AUDCAD a0-fx</stp>
        <stp>High</stp>
        <stp>D</stp>
        <stp/>
        <stp>222</stp>
        <tr r="C226" s="1"/>
      </tp>
      <tp t="s">
        <v/>
        <stp/>
        <stp>*H</stp>
        <stp>AUDCAD a0-fx</stp>
        <stp>High</stp>
        <stp>D</stp>
        <stp/>
        <stp>223</stp>
        <tr r="C227" s="1"/>
      </tp>
      <tp t="s">
        <v/>
        <stp/>
        <stp>*H</stp>
        <stp>AUDCAD a0-fx</stp>
        <stp>High</stp>
        <stp>D</stp>
        <stp/>
        <stp>220</stp>
        <tr r="C224" s="1"/>
      </tp>
      <tp t="s">
        <v/>
        <stp/>
        <stp>*H</stp>
        <stp>AUDCAD a0-fx</stp>
        <stp>High</stp>
        <stp>D</stp>
        <stp/>
        <stp>221</stp>
        <tr r="C225" s="1"/>
      </tp>
      <tp t="s">
        <v/>
        <stp/>
        <stp>*H</stp>
        <stp>AUDCAD a0-fx</stp>
        <stp>High</stp>
        <stp>D</stp>
        <stp/>
        <stp>226</stp>
        <tr r="C230" s="1"/>
      </tp>
      <tp t="s">
        <v/>
        <stp/>
        <stp>*H</stp>
        <stp>AUDCAD a0-fx</stp>
        <stp>High</stp>
        <stp>D</stp>
        <stp/>
        <stp>227</stp>
        <tr r="C231" s="1"/>
      </tp>
      <tp t="s">
        <v/>
        <stp/>
        <stp>*H</stp>
        <stp>AUDCAD a0-fx</stp>
        <stp>High</stp>
        <stp>D</stp>
        <stp/>
        <stp>224</stp>
        <tr r="C228" s="1"/>
      </tp>
      <tp t="s">
        <v/>
        <stp/>
        <stp>*H</stp>
        <stp>AUDCAD a0-fx</stp>
        <stp>High</stp>
        <stp>D</stp>
        <stp/>
        <stp>225</stp>
        <tr r="C229" s="1"/>
      </tp>
      <tp t="s">
        <v/>
        <stp/>
        <stp>*H</stp>
        <stp>AUDCAD a0-fx</stp>
        <stp>High</stp>
        <stp>D</stp>
        <stp/>
        <stp>228</stp>
        <tr r="C232" s="1"/>
      </tp>
      <tp t="s">
        <v/>
        <stp/>
        <stp>*H</stp>
        <stp>AUDCAD a0-fx</stp>
        <stp>High</stp>
        <stp>D</stp>
        <stp/>
        <stp>229</stp>
        <tr r="C233" s="1"/>
      </tp>
      <tp t="s">
        <v/>
        <stp/>
        <stp>*H</stp>
        <stp>AUDCAD a0-fx</stp>
        <stp>High</stp>
        <stp>D</stp>
        <stp/>
        <stp>232</stp>
        <tr r="C236" s="1"/>
      </tp>
      <tp t="s">
        <v/>
        <stp/>
        <stp>*H</stp>
        <stp>AUDCAD a0-fx</stp>
        <stp>High</stp>
        <stp>D</stp>
        <stp/>
        <stp>233</stp>
        <tr r="C237" s="1"/>
      </tp>
      <tp t="s">
        <v/>
        <stp/>
        <stp>*H</stp>
        <stp>AUDCAD a0-fx</stp>
        <stp>High</stp>
        <stp>D</stp>
        <stp/>
        <stp>230</stp>
        <tr r="C234" s="1"/>
      </tp>
      <tp t="s">
        <v/>
        <stp/>
        <stp>*H</stp>
        <stp>AUDCAD a0-fx</stp>
        <stp>High</stp>
        <stp>D</stp>
        <stp/>
        <stp>231</stp>
        <tr r="C235" s="1"/>
      </tp>
      <tp t="s">
        <v/>
        <stp/>
        <stp>*H</stp>
        <stp>AUDCAD a0-fx</stp>
        <stp>High</stp>
        <stp>D</stp>
        <stp/>
        <stp>236</stp>
        <tr r="C240" s="1"/>
      </tp>
      <tp t="s">
        <v/>
        <stp/>
        <stp>*H</stp>
        <stp>AUDCAD a0-fx</stp>
        <stp>High</stp>
        <stp>D</stp>
        <stp/>
        <stp>237</stp>
        <tr r="C241" s="1"/>
      </tp>
      <tp t="s">
        <v/>
        <stp/>
        <stp>*H</stp>
        <stp>AUDCAD a0-fx</stp>
        <stp>High</stp>
        <stp>D</stp>
        <stp/>
        <stp>234</stp>
        <tr r="C238" s="1"/>
      </tp>
      <tp t="s">
        <v/>
        <stp/>
        <stp>*H</stp>
        <stp>AUDCAD a0-fx</stp>
        <stp>High</stp>
        <stp>D</stp>
        <stp/>
        <stp>235</stp>
        <tr r="C239" s="1"/>
      </tp>
      <tp t="s">
        <v/>
        <stp/>
        <stp>*H</stp>
        <stp>AUDCAD a0-fx</stp>
        <stp>High</stp>
        <stp>D</stp>
        <stp/>
        <stp>238</stp>
        <tr r="C242" s="1"/>
      </tp>
      <tp t="s">
        <v/>
        <stp/>
        <stp>*H</stp>
        <stp>AUDCAD a0-fx</stp>
        <stp>High</stp>
        <stp>D</stp>
        <stp/>
        <stp>239</stp>
        <tr r="C243" s="1"/>
      </tp>
      <tp t="s">
        <v/>
        <stp/>
        <stp>*H</stp>
        <stp>AUDCAD a0-fx</stp>
        <stp>High</stp>
        <stp>D</stp>
        <stp/>
        <stp>202</stp>
        <tr r="C206" s="1"/>
      </tp>
      <tp t="s">
        <v/>
        <stp/>
        <stp>*H</stp>
        <stp>AUDCAD a0-fx</stp>
        <stp>High</stp>
        <stp>D</stp>
        <stp/>
        <stp>203</stp>
        <tr r="C207" s="1"/>
      </tp>
      <tp t="s">
        <v/>
        <stp/>
        <stp>*H</stp>
        <stp>AUDCAD a0-fx</stp>
        <stp>High</stp>
        <stp>D</stp>
        <stp/>
        <stp>200</stp>
        <tr r="C204" s="1"/>
      </tp>
      <tp t="s">
        <v/>
        <stp/>
        <stp>*H</stp>
        <stp>AUDCAD a0-fx</stp>
        <stp>High</stp>
        <stp>D</stp>
        <stp/>
        <stp>201</stp>
        <tr r="C205" s="1"/>
      </tp>
      <tp t="s">
        <v/>
        <stp/>
        <stp>*H</stp>
        <stp>AUDCAD a0-fx</stp>
        <stp>High</stp>
        <stp>D</stp>
        <stp/>
        <stp>206</stp>
        <tr r="C210" s="1"/>
      </tp>
      <tp t="s">
        <v/>
        <stp/>
        <stp>*H</stp>
        <stp>AUDCAD a0-fx</stp>
        <stp>High</stp>
        <stp>D</stp>
        <stp/>
        <stp>207</stp>
        <tr r="C211" s="1"/>
      </tp>
      <tp t="s">
        <v/>
        <stp/>
        <stp>*H</stp>
        <stp>AUDCAD a0-fx</stp>
        <stp>High</stp>
        <stp>D</stp>
        <stp/>
        <stp>204</stp>
        <tr r="C208" s="1"/>
      </tp>
      <tp t="s">
        <v/>
        <stp/>
        <stp>*H</stp>
        <stp>AUDCAD a0-fx</stp>
        <stp>High</stp>
        <stp>D</stp>
        <stp/>
        <stp>205</stp>
        <tr r="C209" s="1"/>
      </tp>
      <tp t="s">
        <v/>
        <stp/>
        <stp>*H</stp>
        <stp>AUDCAD a0-fx</stp>
        <stp>High</stp>
        <stp>D</stp>
        <stp/>
        <stp>208</stp>
        <tr r="C212" s="1"/>
      </tp>
      <tp t="s">
        <v/>
        <stp/>
        <stp>*H</stp>
        <stp>AUDCAD a0-fx</stp>
        <stp>High</stp>
        <stp>D</stp>
        <stp/>
        <stp>209</stp>
        <tr r="C213" s="1"/>
      </tp>
      <tp t="s">
        <v/>
        <stp/>
        <stp>*H</stp>
        <stp>AUDCAD a0-fx</stp>
        <stp>High</stp>
        <stp>D</stp>
        <stp/>
        <stp>212</stp>
        <tr r="C216" s="1"/>
      </tp>
      <tp t="s">
        <v/>
        <stp/>
        <stp>*H</stp>
        <stp>AUDCAD a0-fx</stp>
        <stp>High</stp>
        <stp>D</stp>
        <stp/>
        <stp>213</stp>
        <tr r="C217" s="1"/>
      </tp>
      <tp t="s">
        <v/>
        <stp/>
        <stp>*H</stp>
        <stp>AUDCAD a0-fx</stp>
        <stp>High</stp>
        <stp>D</stp>
        <stp/>
        <stp>210</stp>
        <tr r="C214" s="1"/>
      </tp>
      <tp t="s">
        <v/>
        <stp/>
        <stp>*H</stp>
        <stp>AUDCAD a0-fx</stp>
        <stp>High</stp>
        <stp>D</stp>
        <stp/>
        <stp>211</stp>
        <tr r="C215" s="1"/>
      </tp>
      <tp t="s">
        <v/>
        <stp/>
        <stp>*H</stp>
        <stp>AUDCAD a0-fx</stp>
        <stp>High</stp>
        <stp>D</stp>
        <stp/>
        <stp>216</stp>
        <tr r="C220" s="1"/>
      </tp>
      <tp t="s">
        <v/>
        <stp/>
        <stp>*H</stp>
        <stp>AUDCAD a0-fx</stp>
        <stp>High</stp>
        <stp>D</stp>
        <stp/>
        <stp>217</stp>
        <tr r="C221" s="1"/>
      </tp>
      <tp t="s">
        <v/>
        <stp/>
        <stp>*H</stp>
        <stp>AUDCAD a0-fx</stp>
        <stp>High</stp>
        <stp>D</stp>
        <stp/>
        <stp>214</stp>
        <tr r="C218" s="1"/>
      </tp>
      <tp t="s">
        <v/>
        <stp/>
        <stp>*H</stp>
        <stp>AUDCAD a0-fx</stp>
        <stp>High</stp>
        <stp>D</stp>
        <stp/>
        <stp>215</stp>
        <tr r="C219" s="1"/>
      </tp>
      <tp t="s">
        <v/>
        <stp/>
        <stp>*H</stp>
        <stp>AUDCAD a0-fx</stp>
        <stp>High</stp>
        <stp>D</stp>
        <stp/>
        <stp>218</stp>
        <tr r="C222" s="1"/>
      </tp>
      <tp t="s">
        <v/>
        <stp/>
        <stp>*H</stp>
        <stp>AUDCAD a0-fx</stp>
        <stp>High</stp>
        <stp>D</stp>
        <stp/>
        <stp>219</stp>
        <tr r="C223" s="1"/>
      </tp>
      <tp t="s">
        <v/>
        <stp/>
        <stp>*H</stp>
        <stp>AUDCAD a0-fx</stp>
        <stp>High</stp>
        <stp>D</stp>
        <stp/>
        <stp>162</stp>
        <tr r="C166" s="1"/>
      </tp>
      <tp t="s">
        <v/>
        <stp/>
        <stp>*H</stp>
        <stp>AUDCAD a0-fx</stp>
        <stp>High</stp>
        <stp>D</stp>
        <stp/>
        <stp>163</stp>
        <tr r="C167" s="1"/>
      </tp>
      <tp t="s">
        <v/>
        <stp/>
        <stp>*H</stp>
        <stp>AUDCAD a0-fx</stp>
        <stp>High</stp>
        <stp>D</stp>
        <stp/>
        <stp>160</stp>
        <tr r="C164" s="1"/>
      </tp>
      <tp t="s">
        <v/>
        <stp/>
        <stp>*H</stp>
        <stp>AUDCAD a0-fx</stp>
        <stp>High</stp>
        <stp>D</stp>
        <stp/>
        <stp>161</stp>
        <tr r="C165" s="1"/>
      </tp>
      <tp t="s">
        <v/>
        <stp/>
        <stp>*H</stp>
        <stp>AUDCAD a0-fx</stp>
        <stp>High</stp>
        <stp>D</stp>
        <stp/>
        <stp>166</stp>
        <tr r="C170" s="1"/>
      </tp>
      <tp t="s">
        <v/>
        <stp/>
        <stp>*H</stp>
        <stp>AUDCAD a0-fx</stp>
        <stp>High</stp>
        <stp>D</stp>
        <stp/>
        <stp>167</stp>
        <tr r="C171" s="1"/>
      </tp>
      <tp t="s">
        <v/>
        <stp/>
        <stp>*H</stp>
        <stp>AUDCAD a0-fx</stp>
        <stp>High</stp>
        <stp>D</stp>
        <stp/>
        <stp>164</stp>
        <tr r="C168" s="1"/>
      </tp>
      <tp t="s">
        <v/>
        <stp/>
        <stp>*H</stp>
        <stp>AUDCAD a0-fx</stp>
        <stp>High</stp>
        <stp>D</stp>
        <stp/>
        <stp>165</stp>
        <tr r="C169" s="1"/>
      </tp>
      <tp t="s">
        <v/>
        <stp/>
        <stp>*H</stp>
        <stp>AUDCAD a0-fx</stp>
        <stp>High</stp>
        <stp>D</stp>
        <stp/>
        <stp>168</stp>
        <tr r="C172" s="1"/>
      </tp>
      <tp t="s">
        <v/>
        <stp/>
        <stp>*H</stp>
        <stp>AUDCAD a0-fx</stp>
        <stp>High</stp>
        <stp>D</stp>
        <stp/>
        <stp>169</stp>
        <tr r="C173" s="1"/>
      </tp>
      <tp t="s">
        <v/>
        <stp/>
        <stp>*H</stp>
        <stp>AUDCAD a0-fx</stp>
        <stp>High</stp>
        <stp>D</stp>
        <stp/>
        <stp>172</stp>
        <tr r="C176" s="1"/>
      </tp>
      <tp t="s">
        <v/>
        <stp/>
        <stp>*H</stp>
        <stp>AUDCAD a0-fx</stp>
        <stp>High</stp>
        <stp>D</stp>
        <stp/>
        <stp>173</stp>
        <tr r="C177" s="1"/>
      </tp>
      <tp t="s">
        <v/>
        <stp/>
        <stp>*H</stp>
        <stp>AUDCAD a0-fx</stp>
        <stp>High</stp>
        <stp>D</stp>
        <stp/>
        <stp>170</stp>
        <tr r="C174" s="1"/>
      </tp>
      <tp t="s">
        <v/>
        <stp/>
        <stp>*H</stp>
        <stp>AUDCAD a0-fx</stp>
        <stp>High</stp>
        <stp>D</stp>
        <stp/>
        <stp>171</stp>
        <tr r="C175" s="1"/>
      </tp>
      <tp t="s">
        <v/>
        <stp/>
        <stp>*H</stp>
        <stp>AUDCAD a0-fx</stp>
        <stp>High</stp>
        <stp>D</stp>
        <stp/>
        <stp>176</stp>
        <tr r="C180" s="1"/>
      </tp>
      <tp t="s">
        <v/>
        <stp/>
        <stp>*H</stp>
        <stp>AUDCAD a0-fx</stp>
        <stp>High</stp>
        <stp>D</stp>
        <stp/>
        <stp>177</stp>
        <tr r="C181" s="1"/>
      </tp>
      <tp t="s">
        <v/>
        <stp/>
        <stp>*H</stp>
        <stp>AUDCAD a0-fx</stp>
        <stp>High</stp>
        <stp>D</stp>
        <stp/>
        <stp>174</stp>
        <tr r="C178" s="1"/>
      </tp>
      <tp t="s">
        <v/>
        <stp/>
        <stp>*H</stp>
        <stp>AUDCAD a0-fx</stp>
        <stp>High</stp>
        <stp>D</stp>
        <stp/>
        <stp>175</stp>
        <tr r="C179" s="1"/>
      </tp>
      <tp t="s">
        <v/>
        <stp/>
        <stp>*H</stp>
        <stp>AUDCAD a0-fx</stp>
        <stp>High</stp>
        <stp>D</stp>
        <stp/>
        <stp>178</stp>
        <tr r="C182" s="1"/>
      </tp>
      <tp t="s">
        <v/>
        <stp/>
        <stp>*H</stp>
        <stp>AUDCAD a0-fx</stp>
        <stp>High</stp>
        <stp>D</stp>
        <stp/>
        <stp>179</stp>
        <tr r="C183" s="1"/>
      </tp>
      <tp t="s">
        <v/>
        <stp/>
        <stp>*H</stp>
        <stp>AUDCAD a0-fx</stp>
        <stp>High</stp>
        <stp>D</stp>
        <stp/>
        <stp>142</stp>
        <tr r="C146" s="1"/>
      </tp>
      <tp t="s">
        <v/>
        <stp/>
        <stp>*H</stp>
        <stp>AUDCAD a0-fx</stp>
        <stp>High</stp>
        <stp>D</stp>
        <stp/>
        <stp>143</stp>
        <tr r="C147" s="1"/>
      </tp>
      <tp t="s">
        <v/>
        <stp/>
        <stp>*H</stp>
        <stp>AUDCAD a0-fx</stp>
        <stp>High</stp>
        <stp>D</stp>
        <stp/>
        <stp>140</stp>
        <tr r="C144" s="1"/>
      </tp>
      <tp t="s">
        <v/>
        <stp/>
        <stp>*H</stp>
        <stp>AUDCAD a0-fx</stp>
        <stp>High</stp>
        <stp>D</stp>
        <stp/>
        <stp>141</stp>
        <tr r="C145" s="1"/>
      </tp>
      <tp t="s">
        <v/>
        <stp/>
        <stp>*H</stp>
        <stp>AUDCAD a0-fx</stp>
        <stp>High</stp>
        <stp>D</stp>
        <stp/>
        <stp>146</stp>
        <tr r="C150" s="1"/>
      </tp>
      <tp t="s">
        <v/>
        <stp/>
        <stp>*H</stp>
        <stp>AUDCAD a0-fx</stp>
        <stp>High</stp>
        <stp>D</stp>
        <stp/>
        <stp>147</stp>
        <tr r="C151" s="1"/>
      </tp>
      <tp t="s">
        <v/>
        <stp/>
        <stp>*H</stp>
        <stp>AUDCAD a0-fx</stp>
        <stp>High</stp>
        <stp>D</stp>
        <stp/>
        <stp>144</stp>
        <tr r="C148" s="1"/>
      </tp>
      <tp t="s">
        <v/>
        <stp/>
        <stp>*H</stp>
        <stp>AUDCAD a0-fx</stp>
        <stp>High</stp>
        <stp>D</stp>
        <stp/>
        <stp>145</stp>
        <tr r="C149" s="1"/>
      </tp>
      <tp t="s">
        <v/>
        <stp/>
        <stp>*H</stp>
        <stp>AUDCAD a0-fx</stp>
        <stp>High</stp>
        <stp>D</stp>
        <stp/>
        <stp>148</stp>
        <tr r="C152" s="1"/>
      </tp>
      <tp t="s">
        <v/>
        <stp/>
        <stp>*H</stp>
        <stp>AUDCAD a0-fx</stp>
        <stp>High</stp>
        <stp>D</stp>
        <stp/>
        <stp>149</stp>
        <tr r="C153" s="1"/>
      </tp>
      <tp t="s">
        <v/>
        <stp/>
        <stp>*H</stp>
        <stp>AUDCAD a0-fx</stp>
        <stp>High</stp>
        <stp>D</stp>
        <stp/>
        <stp>152</stp>
        <tr r="C156" s="1"/>
      </tp>
      <tp t="s">
        <v/>
        <stp/>
        <stp>*H</stp>
        <stp>AUDCAD a0-fx</stp>
        <stp>High</stp>
        <stp>D</stp>
        <stp/>
        <stp>153</stp>
        <tr r="C157" s="1"/>
      </tp>
      <tp t="s">
        <v/>
        <stp/>
        <stp>*H</stp>
        <stp>AUDCAD a0-fx</stp>
        <stp>High</stp>
        <stp>D</stp>
        <stp/>
        <stp>150</stp>
        <tr r="C154" s="1"/>
      </tp>
      <tp t="s">
        <v/>
        <stp/>
        <stp>*H</stp>
        <stp>AUDCAD a0-fx</stp>
        <stp>High</stp>
        <stp>D</stp>
        <stp/>
        <stp>151</stp>
        <tr r="C155" s="1"/>
      </tp>
      <tp t="s">
        <v/>
        <stp/>
        <stp>*H</stp>
        <stp>AUDCAD a0-fx</stp>
        <stp>High</stp>
        <stp>D</stp>
        <stp/>
        <stp>156</stp>
        <tr r="C160" s="1"/>
      </tp>
      <tp t="s">
        <v/>
        <stp/>
        <stp>*H</stp>
        <stp>AUDCAD a0-fx</stp>
        <stp>High</stp>
        <stp>D</stp>
        <stp/>
        <stp>157</stp>
        <tr r="C161" s="1"/>
      </tp>
      <tp t="s">
        <v/>
        <stp/>
        <stp>*H</stp>
        <stp>AUDCAD a0-fx</stp>
        <stp>High</stp>
        <stp>D</stp>
        <stp/>
        <stp>154</stp>
        <tr r="C158" s="1"/>
      </tp>
      <tp t="s">
        <v/>
        <stp/>
        <stp>*H</stp>
        <stp>AUDCAD a0-fx</stp>
        <stp>High</stp>
        <stp>D</stp>
        <stp/>
        <stp>155</stp>
        <tr r="C159" s="1"/>
      </tp>
      <tp t="s">
        <v/>
        <stp/>
        <stp>*H</stp>
        <stp>AUDCAD a0-fx</stp>
        <stp>High</stp>
        <stp>D</stp>
        <stp/>
        <stp>158</stp>
        <tr r="C162" s="1"/>
      </tp>
      <tp t="s">
        <v/>
        <stp/>
        <stp>*H</stp>
        <stp>AUDCAD a0-fx</stp>
        <stp>High</stp>
        <stp>D</stp>
        <stp/>
        <stp>159</stp>
        <tr r="C163" s="1"/>
      </tp>
      <tp t="s">
        <v/>
        <stp/>
        <stp>*H</stp>
        <stp>AUDCAD a0-fx</stp>
        <stp>High</stp>
        <stp>D</stp>
        <stp/>
        <stp>122</stp>
        <tr r="C126" s="1"/>
      </tp>
      <tp t="s">
        <v/>
        <stp/>
        <stp>*H</stp>
        <stp>AUDCAD a0-fx</stp>
        <stp>High</stp>
        <stp>D</stp>
        <stp/>
        <stp>123</stp>
        <tr r="C127" s="1"/>
      </tp>
      <tp t="s">
        <v/>
        <stp/>
        <stp>*H</stp>
        <stp>AUDCAD a0-fx</stp>
        <stp>High</stp>
        <stp>D</stp>
        <stp/>
        <stp>120</stp>
        <tr r="C124" s="1"/>
      </tp>
      <tp t="s">
        <v/>
        <stp/>
        <stp>*H</stp>
        <stp>AUDCAD a0-fx</stp>
        <stp>High</stp>
        <stp>D</stp>
        <stp/>
        <stp>121</stp>
        <tr r="C125" s="1"/>
      </tp>
      <tp t="s">
        <v/>
        <stp/>
        <stp>*H</stp>
        <stp>AUDCAD a0-fx</stp>
        <stp>High</stp>
        <stp>D</stp>
        <stp/>
        <stp>126</stp>
        <tr r="C130" s="1"/>
      </tp>
      <tp t="s">
        <v/>
        <stp/>
        <stp>*H</stp>
        <stp>AUDCAD a0-fx</stp>
        <stp>High</stp>
        <stp>D</stp>
        <stp/>
        <stp>127</stp>
        <tr r="C131" s="1"/>
      </tp>
      <tp t="s">
        <v/>
        <stp/>
        <stp>*H</stp>
        <stp>AUDCAD a0-fx</stp>
        <stp>High</stp>
        <stp>D</stp>
        <stp/>
        <stp>124</stp>
        <tr r="C128" s="1"/>
      </tp>
      <tp t="s">
        <v/>
        <stp/>
        <stp>*H</stp>
        <stp>AUDCAD a0-fx</stp>
        <stp>High</stp>
        <stp>D</stp>
        <stp/>
        <stp>125</stp>
        <tr r="C129" s="1"/>
      </tp>
      <tp t="s">
        <v/>
        <stp/>
        <stp>*H</stp>
        <stp>AUDCAD a0-fx</stp>
        <stp>High</stp>
        <stp>D</stp>
        <stp/>
        <stp>128</stp>
        <tr r="C132" s="1"/>
      </tp>
      <tp t="s">
        <v/>
        <stp/>
        <stp>*H</stp>
        <stp>AUDCAD a0-fx</stp>
        <stp>High</stp>
        <stp>D</stp>
        <stp/>
        <stp>129</stp>
        <tr r="C133" s="1"/>
      </tp>
      <tp t="s">
        <v/>
        <stp/>
        <stp>*H</stp>
        <stp>AUDCAD a0-fx</stp>
        <stp>High</stp>
        <stp>D</stp>
        <stp/>
        <stp>132</stp>
        <tr r="C136" s="1"/>
      </tp>
      <tp t="s">
        <v/>
        <stp/>
        <stp>*H</stp>
        <stp>AUDCAD a0-fx</stp>
        <stp>High</stp>
        <stp>D</stp>
        <stp/>
        <stp>133</stp>
        <tr r="C137" s="1"/>
      </tp>
      <tp t="s">
        <v/>
        <stp/>
        <stp>*H</stp>
        <stp>AUDCAD a0-fx</stp>
        <stp>High</stp>
        <stp>D</stp>
        <stp/>
        <stp>130</stp>
        <tr r="C134" s="1"/>
      </tp>
      <tp t="s">
        <v/>
        <stp/>
        <stp>*H</stp>
        <stp>AUDCAD a0-fx</stp>
        <stp>High</stp>
        <stp>D</stp>
        <stp/>
        <stp>131</stp>
        <tr r="C135" s="1"/>
      </tp>
      <tp t="s">
        <v/>
        <stp/>
        <stp>*H</stp>
        <stp>AUDCAD a0-fx</stp>
        <stp>High</stp>
        <stp>D</stp>
        <stp/>
        <stp>136</stp>
        <tr r="C140" s="1"/>
      </tp>
      <tp t="s">
        <v/>
        <stp/>
        <stp>*H</stp>
        <stp>AUDCAD a0-fx</stp>
        <stp>High</stp>
        <stp>D</stp>
        <stp/>
        <stp>137</stp>
        <tr r="C141" s="1"/>
      </tp>
      <tp t="s">
        <v/>
        <stp/>
        <stp>*H</stp>
        <stp>AUDCAD a0-fx</stp>
        <stp>High</stp>
        <stp>D</stp>
        <stp/>
        <stp>134</stp>
        <tr r="C138" s="1"/>
      </tp>
      <tp t="s">
        <v/>
        <stp/>
        <stp>*H</stp>
        <stp>AUDCAD a0-fx</stp>
        <stp>High</stp>
        <stp>D</stp>
        <stp/>
        <stp>135</stp>
        <tr r="C139" s="1"/>
      </tp>
      <tp t="s">
        <v/>
        <stp/>
        <stp>*H</stp>
        <stp>AUDCAD a0-fx</stp>
        <stp>High</stp>
        <stp>D</stp>
        <stp/>
        <stp>138</stp>
        <tr r="C142" s="1"/>
      </tp>
      <tp t="s">
        <v/>
        <stp/>
        <stp>*H</stp>
        <stp>AUDCAD a0-fx</stp>
        <stp>High</stp>
        <stp>D</stp>
        <stp/>
        <stp>139</stp>
        <tr r="C143" s="1"/>
      </tp>
      <tp t="s">
        <v/>
        <stp/>
        <stp>*H</stp>
        <stp>AUDCAD a0-fx</stp>
        <stp>High</stp>
        <stp>D</stp>
        <stp/>
        <stp>102</stp>
        <tr r="C106" s="1"/>
      </tp>
      <tp t="s">
        <v/>
        <stp/>
        <stp>*H</stp>
        <stp>AUDCAD a0-fx</stp>
        <stp>High</stp>
        <stp>D</stp>
        <stp/>
        <stp>103</stp>
        <tr r="C107" s="1"/>
      </tp>
      <tp t="s">
        <v/>
        <stp/>
        <stp>*H</stp>
        <stp>AUDCAD a0-fx</stp>
        <stp>High</stp>
        <stp>D</stp>
        <stp/>
        <stp>100</stp>
        <tr r="C104" s="1"/>
      </tp>
      <tp t="s">
        <v/>
        <stp/>
        <stp>*H</stp>
        <stp>AUDCAD a0-fx</stp>
        <stp>High</stp>
        <stp>D</stp>
        <stp/>
        <stp>101</stp>
        <tr r="C105" s="1"/>
      </tp>
      <tp t="s">
        <v/>
        <stp/>
        <stp>*H</stp>
        <stp>AUDCAD a0-fx</stp>
        <stp>High</stp>
        <stp>D</stp>
        <stp/>
        <stp>106</stp>
        <tr r="C110" s="1"/>
      </tp>
      <tp t="s">
        <v/>
        <stp/>
        <stp>*H</stp>
        <stp>AUDCAD a0-fx</stp>
        <stp>High</stp>
        <stp>D</stp>
        <stp/>
        <stp>107</stp>
        <tr r="C111" s="1"/>
      </tp>
      <tp t="s">
        <v/>
        <stp/>
        <stp>*H</stp>
        <stp>AUDCAD a0-fx</stp>
        <stp>High</stp>
        <stp>D</stp>
        <stp/>
        <stp>104</stp>
        <tr r="C108" s="1"/>
      </tp>
      <tp t="s">
        <v/>
        <stp/>
        <stp>*H</stp>
        <stp>AUDCAD a0-fx</stp>
        <stp>High</stp>
        <stp>D</stp>
        <stp/>
        <stp>105</stp>
        <tr r="C109" s="1"/>
      </tp>
      <tp t="s">
        <v/>
        <stp/>
        <stp>*H</stp>
        <stp>AUDCAD a0-fx</stp>
        <stp>High</stp>
        <stp>D</stp>
        <stp/>
        <stp>108</stp>
        <tr r="C112" s="1"/>
      </tp>
      <tp t="s">
        <v/>
        <stp/>
        <stp>*H</stp>
        <stp>AUDCAD a0-fx</stp>
        <stp>High</stp>
        <stp>D</stp>
        <stp/>
        <stp>109</stp>
        <tr r="C113" s="1"/>
      </tp>
      <tp t="s">
        <v/>
        <stp/>
        <stp>*H</stp>
        <stp>AUDCAD a0-fx</stp>
        <stp>High</stp>
        <stp>D</stp>
        <stp/>
        <stp>112</stp>
        <tr r="C116" s="1"/>
      </tp>
      <tp t="s">
        <v/>
        <stp/>
        <stp>*H</stp>
        <stp>AUDCAD a0-fx</stp>
        <stp>High</stp>
        <stp>D</stp>
        <stp/>
        <stp>113</stp>
        <tr r="C117" s="1"/>
      </tp>
      <tp t="s">
        <v/>
        <stp/>
        <stp>*H</stp>
        <stp>AUDCAD a0-fx</stp>
        <stp>High</stp>
        <stp>D</stp>
        <stp/>
        <stp>110</stp>
        <tr r="C114" s="1"/>
      </tp>
      <tp t="s">
        <v/>
        <stp/>
        <stp>*H</stp>
        <stp>AUDCAD a0-fx</stp>
        <stp>High</stp>
        <stp>D</stp>
        <stp/>
        <stp>111</stp>
        <tr r="C115" s="1"/>
      </tp>
      <tp t="s">
        <v/>
        <stp/>
        <stp>*H</stp>
        <stp>AUDCAD a0-fx</stp>
        <stp>High</stp>
        <stp>D</stp>
        <stp/>
        <stp>116</stp>
        <tr r="C120" s="1"/>
      </tp>
      <tp t="s">
        <v/>
        <stp/>
        <stp>*H</stp>
        <stp>AUDCAD a0-fx</stp>
        <stp>High</stp>
        <stp>D</stp>
        <stp/>
        <stp>117</stp>
        <tr r="C121" s="1"/>
      </tp>
      <tp t="s">
        <v/>
        <stp/>
        <stp>*H</stp>
        <stp>AUDCAD a0-fx</stp>
        <stp>High</stp>
        <stp>D</stp>
        <stp/>
        <stp>114</stp>
        <tr r="C118" s="1"/>
      </tp>
      <tp t="s">
        <v/>
        <stp/>
        <stp>*H</stp>
        <stp>AUDCAD a0-fx</stp>
        <stp>High</stp>
        <stp>D</stp>
        <stp/>
        <stp>115</stp>
        <tr r="C119" s="1"/>
      </tp>
      <tp t="s">
        <v/>
        <stp/>
        <stp>*H</stp>
        <stp>AUDCAD a0-fx</stp>
        <stp>High</stp>
        <stp>D</stp>
        <stp/>
        <stp>118</stp>
        <tr r="C122" s="1"/>
      </tp>
      <tp t="s">
        <v/>
        <stp/>
        <stp>*H</stp>
        <stp>AUDCAD a0-fx</stp>
        <stp>High</stp>
        <stp>D</stp>
        <stp/>
        <stp>119</stp>
        <tr r="C123" s="1"/>
      </tp>
      <tp t="s">
        <v/>
        <stp/>
        <stp>*H</stp>
        <stp>AUDCAD a0-fx</stp>
        <stp>High</stp>
        <stp>D</stp>
        <stp/>
        <stp>182</stp>
        <tr r="C186" s="1"/>
      </tp>
      <tp t="s">
        <v/>
        <stp/>
        <stp>*H</stp>
        <stp>AUDCAD a0-fx</stp>
        <stp>High</stp>
        <stp>D</stp>
        <stp/>
        <stp>183</stp>
        <tr r="C187" s="1"/>
      </tp>
      <tp t="s">
        <v/>
        <stp/>
        <stp>*H</stp>
        <stp>AUDCAD a0-fx</stp>
        <stp>High</stp>
        <stp>D</stp>
        <stp/>
        <stp>180</stp>
        <tr r="C184" s="1"/>
      </tp>
      <tp t="s">
        <v/>
        <stp/>
        <stp>*H</stp>
        <stp>AUDCAD a0-fx</stp>
        <stp>High</stp>
        <stp>D</stp>
        <stp/>
        <stp>181</stp>
        <tr r="C185" s="1"/>
      </tp>
      <tp t="s">
        <v/>
        <stp/>
        <stp>*H</stp>
        <stp>AUDCAD a0-fx</stp>
        <stp>High</stp>
        <stp>D</stp>
        <stp/>
        <stp>186</stp>
        <tr r="C190" s="1"/>
      </tp>
      <tp t="s">
        <v/>
        <stp/>
        <stp>*H</stp>
        <stp>AUDCAD a0-fx</stp>
        <stp>High</stp>
        <stp>D</stp>
        <stp/>
        <stp>187</stp>
        <tr r="C191" s="1"/>
      </tp>
      <tp t="s">
        <v/>
        <stp/>
        <stp>*H</stp>
        <stp>AUDCAD a0-fx</stp>
        <stp>High</stp>
        <stp>D</stp>
        <stp/>
        <stp>184</stp>
        <tr r="C188" s="1"/>
      </tp>
      <tp t="s">
        <v/>
        <stp/>
        <stp>*H</stp>
        <stp>AUDCAD a0-fx</stp>
        <stp>High</stp>
        <stp>D</stp>
        <stp/>
        <stp>185</stp>
        <tr r="C189" s="1"/>
      </tp>
      <tp t="s">
        <v/>
        <stp/>
        <stp>*H</stp>
        <stp>AUDCAD a0-fx</stp>
        <stp>High</stp>
        <stp>D</stp>
        <stp/>
        <stp>188</stp>
        <tr r="C192" s="1"/>
      </tp>
      <tp t="s">
        <v/>
        <stp/>
        <stp>*H</stp>
        <stp>AUDCAD a0-fx</stp>
        <stp>High</stp>
        <stp>D</stp>
        <stp/>
        <stp>189</stp>
        <tr r="C193" s="1"/>
      </tp>
      <tp t="s">
        <v/>
        <stp/>
        <stp>*H</stp>
        <stp>AUDCAD a0-fx</stp>
        <stp>High</stp>
        <stp>D</stp>
        <stp/>
        <stp>192</stp>
        <tr r="C196" s="1"/>
      </tp>
      <tp t="s">
        <v/>
        <stp/>
        <stp>*H</stp>
        <stp>AUDCAD a0-fx</stp>
        <stp>High</stp>
        <stp>D</stp>
        <stp/>
        <stp>193</stp>
        <tr r="C197" s="1"/>
      </tp>
      <tp t="s">
        <v/>
        <stp/>
        <stp>*H</stp>
        <stp>AUDCAD a0-fx</stp>
        <stp>High</stp>
        <stp>D</stp>
        <stp/>
        <stp>190</stp>
        <tr r="C194" s="1"/>
      </tp>
      <tp t="s">
        <v/>
        <stp/>
        <stp>*H</stp>
        <stp>AUDCAD a0-fx</stp>
        <stp>High</stp>
        <stp>D</stp>
        <stp/>
        <stp>191</stp>
        <tr r="C195" s="1"/>
      </tp>
      <tp t="s">
        <v/>
        <stp/>
        <stp>*H</stp>
        <stp>AUDCAD a0-fx</stp>
        <stp>High</stp>
        <stp>D</stp>
        <stp/>
        <stp>196</stp>
        <tr r="C200" s="1"/>
      </tp>
      <tp t="s">
        <v/>
        <stp/>
        <stp>*H</stp>
        <stp>AUDCAD a0-fx</stp>
        <stp>High</stp>
        <stp>D</stp>
        <stp/>
        <stp>197</stp>
        <tr r="C201" s="1"/>
      </tp>
      <tp t="s">
        <v/>
        <stp/>
        <stp>*H</stp>
        <stp>AUDCAD a0-fx</stp>
        <stp>High</stp>
        <stp>D</stp>
        <stp/>
        <stp>194</stp>
        <tr r="C198" s="1"/>
      </tp>
      <tp t="s">
        <v/>
        <stp/>
        <stp>*H</stp>
        <stp>AUDCAD a0-fx</stp>
        <stp>High</stp>
        <stp>D</stp>
        <stp/>
        <stp>195</stp>
        <tr r="C199" s="1"/>
      </tp>
      <tp t="s">
        <v/>
        <stp/>
        <stp>*H</stp>
        <stp>AUDCAD a0-fx</stp>
        <stp>High</stp>
        <stp>D</stp>
        <stp/>
        <stp>198</stp>
        <tr r="C202" s="1"/>
      </tp>
      <tp t="s">
        <v/>
        <stp/>
        <stp>*H</stp>
        <stp>AUDCAD a0-fx</stp>
        <stp>High</stp>
        <stp>D</stp>
        <stp/>
        <stp>199</stp>
        <tr r="C203" s="1"/>
      </tp>
      <tp t="s">
        <v/>
        <stp/>
        <stp>*H</stp>
        <stp>AUDCAD a0-fx</stp>
        <stp>BarTime</stp>
        <stp>D</stp>
        <stp/>
        <stp>207</stp>
        <tr r="A211" s="1"/>
      </tp>
      <tp t="s">
        <v/>
        <stp/>
        <stp>*H</stp>
        <stp>AUDCAD a0-fx</stp>
        <stp>BarTime</stp>
        <stp>D</stp>
        <stp/>
        <stp>206</stp>
        <tr r="A210" s="1"/>
      </tp>
      <tp t="s">
        <v/>
        <stp/>
        <stp>*H</stp>
        <stp>AUDCAD a0-fx</stp>
        <stp>BarTime</stp>
        <stp>D</stp>
        <stp/>
        <stp>205</stp>
        <tr r="A209" s="1"/>
      </tp>
      <tp t="s">
        <v/>
        <stp/>
        <stp>*H</stp>
        <stp>AUDCAD a0-fx</stp>
        <stp>BarTime</stp>
        <stp>D</stp>
        <stp/>
        <stp>204</stp>
        <tr r="A208" s="1"/>
      </tp>
      <tp t="s">
        <v/>
        <stp/>
        <stp>*H</stp>
        <stp>AUDCAD a0-fx</stp>
        <stp>BarTime</stp>
        <stp>D</stp>
        <stp/>
        <stp>203</stp>
        <tr r="A207" s="1"/>
      </tp>
      <tp t="s">
        <v/>
        <stp/>
        <stp>*H</stp>
        <stp>AUDCAD a0-fx</stp>
        <stp>BarTime</stp>
        <stp>D</stp>
        <stp/>
        <stp>202</stp>
        <tr r="A206" s="1"/>
      </tp>
      <tp t="s">
        <v/>
        <stp/>
        <stp>*H</stp>
        <stp>AUDCAD a0-fx</stp>
        <stp>BarTime</stp>
        <stp>D</stp>
        <stp/>
        <stp>201</stp>
        <tr r="A205" s="1"/>
      </tp>
      <tp t="s">
        <v/>
        <stp/>
        <stp>*H</stp>
        <stp>AUDCAD a0-fx</stp>
        <stp>BarTime</stp>
        <stp>D</stp>
        <stp/>
        <stp>200</stp>
        <tr r="A204" s="1"/>
      </tp>
      <tp t="s">
        <v/>
        <stp/>
        <stp>*H</stp>
        <stp>AUDCAD a0-fx</stp>
        <stp>BarTime</stp>
        <stp>D</stp>
        <stp/>
        <stp>209</stp>
        <tr r="A213" s="1"/>
      </tp>
      <tp t="s">
        <v/>
        <stp/>
        <stp>*H</stp>
        <stp>AUDCAD a0-fx</stp>
        <stp>BarTime</stp>
        <stp>D</stp>
        <stp/>
        <stp>208</stp>
        <tr r="A212" s="1"/>
      </tp>
      <tp t="s">
        <v/>
        <stp/>
        <stp>*H</stp>
        <stp>AUDCAD a0-fx</stp>
        <stp>BarTime</stp>
        <stp>D</stp>
        <stp/>
        <stp>217</stp>
        <tr r="A221" s="1"/>
      </tp>
      <tp t="s">
        <v/>
        <stp/>
        <stp>*H</stp>
        <stp>AUDCAD a0-fx</stp>
        <stp>BarTime</stp>
        <stp>D</stp>
        <stp/>
        <stp>216</stp>
        <tr r="A220" s="1"/>
      </tp>
      <tp t="s">
        <v/>
        <stp/>
        <stp>*H</stp>
        <stp>AUDCAD a0-fx</stp>
        <stp>BarTime</stp>
        <stp>D</stp>
        <stp/>
        <stp>215</stp>
        <tr r="A219" s="1"/>
      </tp>
      <tp t="s">
        <v/>
        <stp/>
        <stp>*H</stp>
        <stp>AUDCAD a0-fx</stp>
        <stp>BarTime</stp>
        <stp>D</stp>
        <stp/>
        <stp>214</stp>
        <tr r="A218" s="1"/>
      </tp>
      <tp t="s">
        <v/>
        <stp/>
        <stp>*H</stp>
        <stp>AUDCAD a0-fx</stp>
        <stp>BarTime</stp>
        <stp>D</stp>
        <stp/>
        <stp>213</stp>
        <tr r="A217" s="1"/>
      </tp>
      <tp t="s">
        <v/>
        <stp/>
        <stp>*H</stp>
        <stp>AUDCAD a0-fx</stp>
        <stp>BarTime</stp>
        <stp>D</stp>
        <stp/>
        <stp>212</stp>
        <tr r="A216" s="1"/>
      </tp>
      <tp t="s">
        <v/>
        <stp/>
        <stp>*H</stp>
        <stp>AUDCAD a0-fx</stp>
        <stp>BarTime</stp>
        <stp>D</stp>
        <stp/>
        <stp>211</stp>
        <tr r="A215" s="1"/>
      </tp>
      <tp t="s">
        <v/>
        <stp/>
        <stp>*H</stp>
        <stp>AUDCAD a0-fx</stp>
        <stp>BarTime</stp>
        <stp>D</stp>
        <stp/>
        <stp>210</stp>
        <tr r="A214" s="1"/>
      </tp>
      <tp t="s">
        <v/>
        <stp/>
        <stp>*H</stp>
        <stp>AUDCAD a0-fx</stp>
        <stp>BarTime</stp>
        <stp>D</stp>
        <stp/>
        <stp>219</stp>
        <tr r="A223" s="1"/>
      </tp>
      <tp t="s">
        <v/>
        <stp/>
        <stp>*H</stp>
        <stp>AUDCAD a0-fx</stp>
        <stp>BarTime</stp>
        <stp>D</stp>
        <stp/>
        <stp>218</stp>
        <tr r="A222" s="1"/>
      </tp>
      <tp t="s">
        <v/>
        <stp/>
        <stp>*H</stp>
        <stp>AUDCAD a0-fx</stp>
        <stp>BarTime</stp>
        <stp>D</stp>
        <stp/>
        <stp>227</stp>
        <tr r="A231" s="1"/>
      </tp>
      <tp t="s">
        <v/>
        <stp/>
        <stp>*H</stp>
        <stp>AUDCAD a0-fx</stp>
        <stp>BarTime</stp>
        <stp>D</stp>
        <stp/>
        <stp>226</stp>
        <tr r="A230" s="1"/>
      </tp>
      <tp t="s">
        <v/>
        <stp/>
        <stp>*H</stp>
        <stp>AUDCAD a0-fx</stp>
        <stp>BarTime</stp>
        <stp>D</stp>
        <stp/>
        <stp>225</stp>
        <tr r="A229" s="1"/>
      </tp>
      <tp t="s">
        <v/>
        <stp/>
        <stp>*H</stp>
        <stp>AUDCAD a0-fx</stp>
        <stp>BarTime</stp>
        <stp>D</stp>
        <stp/>
        <stp>224</stp>
        <tr r="A228" s="1"/>
      </tp>
      <tp t="s">
        <v/>
        <stp/>
        <stp>*H</stp>
        <stp>AUDCAD a0-fx</stp>
        <stp>BarTime</stp>
        <stp>D</stp>
        <stp/>
        <stp>223</stp>
        <tr r="A227" s="1"/>
      </tp>
      <tp t="s">
        <v/>
        <stp/>
        <stp>*H</stp>
        <stp>AUDCAD a0-fx</stp>
        <stp>BarTime</stp>
        <stp>D</stp>
        <stp/>
        <stp>222</stp>
        <tr r="A226" s="1"/>
      </tp>
      <tp t="s">
        <v/>
        <stp/>
        <stp>*H</stp>
        <stp>AUDCAD a0-fx</stp>
        <stp>BarTime</stp>
        <stp>D</stp>
        <stp/>
        <stp>221</stp>
        <tr r="A225" s="1"/>
      </tp>
      <tp t="s">
        <v/>
        <stp/>
        <stp>*H</stp>
        <stp>AUDCAD a0-fx</stp>
        <stp>BarTime</stp>
        <stp>D</stp>
        <stp/>
        <stp>220</stp>
        <tr r="A224" s="1"/>
      </tp>
      <tp t="s">
        <v/>
        <stp/>
        <stp>*H</stp>
        <stp>AUDCAD a0-fx</stp>
        <stp>BarTime</stp>
        <stp>D</stp>
        <stp/>
        <stp>229</stp>
        <tr r="A233" s="1"/>
      </tp>
      <tp t="s">
        <v/>
        <stp/>
        <stp>*H</stp>
        <stp>AUDCAD a0-fx</stp>
        <stp>BarTime</stp>
        <stp>D</stp>
        <stp/>
        <stp>228</stp>
        <tr r="A232" s="1"/>
      </tp>
      <tp t="s">
        <v/>
        <stp/>
        <stp>*H</stp>
        <stp>AUDCAD a0-fx</stp>
        <stp>BarTime</stp>
        <stp>D</stp>
        <stp/>
        <stp>237</stp>
        <tr r="A241" s="1"/>
      </tp>
      <tp t="s">
        <v/>
        <stp/>
        <stp>*H</stp>
        <stp>AUDCAD a0-fx</stp>
        <stp>BarTime</stp>
        <stp>D</stp>
        <stp/>
        <stp>236</stp>
        <tr r="A240" s="1"/>
      </tp>
      <tp t="s">
        <v/>
        <stp/>
        <stp>*H</stp>
        <stp>AUDCAD a0-fx</stp>
        <stp>BarTime</stp>
        <stp>D</stp>
        <stp/>
        <stp>235</stp>
        <tr r="A239" s="1"/>
      </tp>
      <tp t="s">
        <v/>
        <stp/>
        <stp>*H</stp>
        <stp>AUDCAD a0-fx</stp>
        <stp>BarTime</stp>
        <stp>D</stp>
        <stp/>
        <stp>234</stp>
        <tr r="A238" s="1"/>
      </tp>
      <tp t="s">
        <v/>
        <stp/>
        <stp>*H</stp>
        <stp>AUDCAD a0-fx</stp>
        <stp>BarTime</stp>
        <stp>D</stp>
        <stp/>
        <stp>233</stp>
        <tr r="A237" s="1"/>
      </tp>
      <tp t="s">
        <v/>
        <stp/>
        <stp>*H</stp>
        <stp>AUDCAD a0-fx</stp>
        <stp>BarTime</stp>
        <stp>D</stp>
        <stp/>
        <stp>232</stp>
        <tr r="A236" s="1"/>
      </tp>
      <tp t="s">
        <v/>
        <stp/>
        <stp>*H</stp>
        <stp>AUDCAD a0-fx</stp>
        <stp>BarTime</stp>
        <stp>D</stp>
        <stp/>
        <stp>231</stp>
        <tr r="A235" s="1"/>
      </tp>
      <tp t="s">
        <v/>
        <stp/>
        <stp>*H</stp>
        <stp>AUDCAD a0-fx</stp>
        <stp>BarTime</stp>
        <stp>D</stp>
        <stp/>
        <stp>230</stp>
        <tr r="A234" s="1"/>
      </tp>
      <tp t="s">
        <v/>
        <stp/>
        <stp>*H</stp>
        <stp>AUDCAD a0-fx</stp>
        <stp>BarTime</stp>
        <stp>D</stp>
        <stp/>
        <stp>239</stp>
        <tr r="A243" s="1"/>
      </tp>
      <tp t="s">
        <v/>
        <stp/>
        <stp>*H</stp>
        <stp>AUDCAD a0-fx</stp>
        <stp>BarTime</stp>
        <stp>D</stp>
        <stp/>
        <stp>238</stp>
        <tr r="A242" s="1"/>
      </tp>
      <tp t="s">
        <v/>
        <stp/>
        <stp>*H</stp>
        <stp>AUDCAD a0-fx</stp>
        <stp>BarTime</stp>
        <stp>D</stp>
        <stp/>
        <stp>247</stp>
        <tr r="A251" s="1"/>
      </tp>
      <tp t="s">
        <v/>
        <stp/>
        <stp>*H</stp>
        <stp>AUDCAD a0-fx</stp>
        <stp>BarTime</stp>
        <stp>D</stp>
        <stp/>
        <stp>246</stp>
        <tr r="A250" s="1"/>
      </tp>
      <tp t="s">
        <v/>
        <stp/>
        <stp>*H</stp>
        <stp>AUDCAD a0-fx</stp>
        <stp>BarTime</stp>
        <stp>D</stp>
        <stp/>
        <stp>245</stp>
        <tr r="A249" s="1"/>
      </tp>
      <tp t="s">
        <v/>
        <stp/>
        <stp>*H</stp>
        <stp>AUDCAD a0-fx</stp>
        <stp>BarTime</stp>
        <stp>D</stp>
        <stp/>
        <stp>244</stp>
        <tr r="A248" s="1"/>
      </tp>
      <tp t="s">
        <v/>
        <stp/>
        <stp>*H</stp>
        <stp>AUDCAD a0-fx</stp>
        <stp>BarTime</stp>
        <stp>D</stp>
        <stp/>
        <stp>243</stp>
        <tr r="A247" s="1"/>
      </tp>
      <tp t="s">
        <v/>
        <stp/>
        <stp>*H</stp>
        <stp>AUDCAD a0-fx</stp>
        <stp>BarTime</stp>
        <stp>D</stp>
        <stp/>
        <stp>242</stp>
        <tr r="A246" s="1"/>
      </tp>
      <tp t="s">
        <v/>
        <stp/>
        <stp>*H</stp>
        <stp>AUDCAD a0-fx</stp>
        <stp>BarTime</stp>
        <stp>D</stp>
        <stp/>
        <stp>241</stp>
        <tr r="A245" s="1"/>
      </tp>
      <tp t="s">
        <v/>
        <stp/>
        <stp>*H</stp>
        <stp>AUDCAD a0-fx</stp>
        <stp>BarTime</stp>
        <stp>D</stp>
        <stp/>
        <stp>240</stp>
        <tr r="A244" s="1"/>
      </tp>
      <tp t="s">
        <v/>
        <stp/>
        <stp>*H</stp>
        <stp>AUDCAD a0-fx</stp>
        <stp>BarTime</stp>
        <stp>D</stp>
        <stp/>
        <stp>249</stp>
        <tr r="A253" s="1"/>
      </tp>
      <tp t="s">
        <v/>
        <stp/>
        <stp>*H</stp>
        <stp>AUDCAD a0-fx</stp>
        <stp>BarTime</stp>
        <stp>D</stp>
        <stp/>
        <stp>248</stp>
        <tr r="A252" s="1"/>
      </tp>
      <tp t="s">
        <v/>
        <stp/>
        <stp>*H</stp>
        <stp>AUDCAD a0-fx</stp>
        <stp>BarTime</stp>
        <stp>D</stp>
        <stp/>
        <stp>257</stp>
        <tr r="A261" s="1"/>
      </tp>
      <tp t="s">
        <v/>
        <stp/>
        <stp>*H</stp>
        <stp>AUDCAD a0-fx</stp>
        <stp>BarTime</stp>
        <stp>D</stp>
        <stp/>
        <stp>256</stp>
        <tr r="A260" s="1"/>
      </tp>
      <tp t="s">
        <v/>
        <stp/>
        <stp>*H</stp>
        <stp>AUDCAD a0-fx</stp>
        <stp>BarTime</stp>
        <stp>D</stp>
        <stp/>
        <stp>255</stp>
        <tr r="A259" s="1"/>
      </tp>
      <tp t="s">
        <v/>
        <stp/>
        <stp>*H</stp>
        <stp>AUDCAD a0-fx</stp>
        <stp>BarTime</stp>
        <stp>D</stp>
        <stp/>
        <stp>254</stp>
        <tr r="A258" s="1"/>
      </tp>
      <tp t="s">
        <v/>
        <stp/>
        <stp>*H</stp>
        <stp>AUDCAD a0-fx</stp>
        <stp>BarTime</stp>
        <stp>D</stp>
        <stp/>
        <stp>253</stp>
        <tr r="A257" s="1"/>
      </tp>
      <tp t="s">
        <v/>
        <stp/>
        <stp>*H</stp>
        <stp>AUDCAD a0-fx</stp>
        <stp>BarTime</stp>
        <stp>D</stp>
        <stp/>
        <stp>252</stp>
        <tr r="A256" s="1"/>
      </tp>
      <tp t="s">
        <v/>
        <stp/>
        <stp>*H</stp>
        <stp>AUDCAD a0-fx</stp>
        <stp>BarTime</stp>
        <stp>D</stp>
        <stp/>
        <stp>251</stp>
        <tr r="A255" s="1"/>
      </tp>
      <tp t="s">
        <v/>
        <stp/>
        <stp>*H</stp>
        <stp>AUDCAD a0-fx</stp>
        <stp>BarTime</stp>
        <stp>D</stp>
        <stp/>
        <stp>250</stp>
        <tr r="A254" s="1"/>
      </tp>
      <tp t="s">
        <v/>
        <stp/>
        <stp>*H</stp>
        <stp>AUDCAD a0-fx</stp>
        <stp>BarTime</stp>
        <stp>D</stp>
        <stp/>
        <stp>259</stp>
        <tr r="A263" s="1"/>
      </tp>
      <tp t="s">
        <v/>
        <stp/>
        <stp>*H</stp>
        <stp>AUDCAD a0-fx</stp>
        <stp>BarTime</stp>
        <stp>D</stp>
        <stp/>
        <stp>258</stp>
        <tr r="A262" s="1"/>
      </tp>
      <tp t="s">
        <v/>
        <stp/>
        <stp>*H</stp>
        <stp>AUDCAD a0-fx</stp>
        <stp>BarTime</stp>
        <stp>D</stp>
        <stp/>
        <stp>264</stp>
        <tr r="A268" s="1"/>
      </tp>
      <tp t="s">
        <v/>
        <stp/>
        <stp>*H</stp>
        <stp>AUDCAD a0-fx</stp>
        <stp>BarTime</stp>
        <stp>D</stp>
        <stp/>
        <stp>263</stp>
        <tr r="A267" s="1"/>
      </tp>
      <tp t="s">
        <v/>
        <stp/>
        <stp>*H</stp>
        <stp>AUDCAD a0-fx</stp>
        <stp>BarTime</stp>
        <stp>D</stp>
        <stp/>
        <stp>262</stp>
        <tr r="A266" s="1"/>
      </tp>
      <tp t="s">
        <v/>
        <stp/>
        <stp>*H</stp>
        <stp>AUDCAD a0-fx</stp>
        <stp>BarTime</stp>
        <stp>D</stp>
        <stp/>
        <stp>261</stp>
        <tr r="A265" s="1"/>
      </tp>
      <tp t="s">
        <v/>
        <stp/>
        <stp>*H</stp>
        <stp>AUDCAD a0-fx</stp>
        <stp>BarTime</stp>
        <stp>D</stp>
        <stp/>
        <stp>260</stp>
        <tr r="A264" s="1"/>
      </tp>
      <tp t="s">
        <v/>
        <stp/>
        <stp>*H</stp>
        <stp>AUDCAD a0-fx</stp>
        <stp>BarTime</stp>
        <stp>D</stp>
        <stp/>
        <stp>187</stp>
        <tr r="A191" s="1"/>
      </tp>
      <tp t="s">
        <v/>
        <stp/>
        <stp>*H</stp>
        <stp>AUDCAD a0-fx</stp>
        <stp>BarTime</stp>
        <stp>D</stp>
        <stp/>
        <stp>186</stp>
        <tr r="A190" s="1"/>
      </tp>
      <tp t="s">
        <v/>
        <stp/>
        <stp>*H</stp>
        <stp>AUDCAD a0-fx</stp>
        <stp>BarTime</stp>
        <stp>D</stp>
        <stp/>
        <stp>185</stp>
        <tr r="A189" s="1"/>
      </tp>
      <tp t="s">
        <v/>
        <stp/>
        <stp>*H</stp>
        <stp>AUDCAD a0-fx</stp>
        <stp>BarTime</stp>
        <stp>D</stp>
        <stp/>
        <stp>184</stp>
        <tr r="A188" s="1"/>
      </tp>
      <tp t="s">
        <v/>
        <stp/>
        <stp>*H</stp>
        <stp>AUDCAD a0-fx</stp>
        <stp>BarTime</stp>
        <stp>D</stp>
        <stp/>
        <stp>183</stp>
        <tr r="A187" s="1"/>
      </tp>
      <tp t="s">
        <v/>
        <stp/>
        <stp>*H</stp>
        <stp>AUDCAD a0-fx</stp>
        <stp>BarTime</stp>
        <stp>D</stp>
        <stp/>
        <stp>182</stp>
        <tr r="A186" s="1"/>
      </tp>
      <tp t="s">
        <v/>
        <stp/>
        <stp>*H</stp>
        <stp>AUDCAD a0-fx</stp>
        <stp>BarTime</stp>
        <stp>D</stp>
        <stp/>
        <stp>181</stp>
        <tr r="A185" s="1"/>
      </tp>
      <tp t="s">
        <v/>
        <stp/>
        <stp>*H</stp>
        <stp>AUDCAD a0-fx</stp>
        <stp>BarTime</stp>
        <stp>D</stp>
        <stp/>
        <stp>180</stp>
        <tr r="A184" s="1"/>
      </tp>
      <tp t="s">
        <v/>
        <stp/>
        <stp>*H</stp>
        <stp>AUDCAD a0-fx</stp>
        <stp>BarTime</stp>
        <stp>D</stp>
        <stp/>
        <stp>189</stp>
        <tr r="A193" s="1"/>
      </tp>
      <tp t="s">
        <v/>
        <stp/>
        <stp>*H</stp>
        <stp>AUDCAD a0-fx</stp>
        <stp>BarTime</stp>
        <stp>D</stp>
        <stp/>
        <stp>188</stp>
        <tr r="A192" s="1"/>
      </tp>
      <tp t="s">
        <v/>
        <stp/>
        <stp>*H</stp>
        <stp>AUDCAD a0-fx</stp>
        <stp>BarTime</stp>
        <stp>D</stp>
        <stp/>
        <stp>197</stp>
        <tr r="A201" s="1"/>
      </tp>
      <tp t="s">
        <v/>
        <stp/>
        <stp>*H</stp>
        <stp>AUDCAD a0-fx</stp>
        <stp>BarTime</stp>
        <stp>D</stp>
        <stp/>
        <stp>196</stp>
        <tr r="A200" s="1"/>
      </tp>
      <tp t="s">
        <v/>
        <stp/>
        <stp>*H</stp>
        <stp>AUDCAD a0-fx</stp>
        <stp>BarTime</stp>
        <stp>D</stp>
        <stp/>
        <stp>195</stp>
        <tr r="A199" s="1"/>
      </tp>
      <tp t="s">
        <v/>
        <stp/>
        <stp>*H</stp>
        <stp>AUDCAD a0-fx</stp>
        <stp>BarTime</stp>
        <stp>D</stp>
        <stp/>
        <stp>194</stp>
        <tr r="A198" s="1"/>
      </tp>
      <tp t="s">
        <v/>
        <stp/>
        <stp>*H</stp>
        <stp>AUDCAD a0-fx</stp>
        <stp>BarTime</stp>
        <stp>D</stp>
        <stp/>
        <stp>193</stp>
        <tr r="A197" s="1"/>
      </tp>
      <tp t="s">
        <v/>
        <stp/>
        <stp>*H</stp>
        <stp>AUDCAD a0-fx</stp>
        <stp>BarTime</stp>
        <stp>D</stp>
        <stp/>
        <stp>192</stp>
        <tr r="A196" s="1"/>
      </tp>
      <tp t="s">
        <v/>
        <stp/>
        <stp>*H</stp>
        <stp>AUDCAD a0-fx</stp>
        <stp>BarTime</stp>
        <stp>D</stp>
        <stp/>
        <stp>191</stp>
        <tr r="A195" s="1"/>
      </tp>
      <tp t="s">
        <v/>
        <stp/>
        <stp>*H</stp>
        <stp>AUDCAD a0-fx</stp>
        <stp>BarTime</stp>
        <stp>D</stp>
        <stp/>
        <stp>190</stp>
        <tr r="A194" s="1"/>
      </tp>
      <tp t="s">
        <v/>
        <stp/>
        <stp>*H</stp>
        <stp>AUDCAD a0-fx</stp>
        <stp>BarTime</stp>
        <stp>D</stp>
        <stp/>
        <stp>199</stp>
        <tr r="A203" s="1"/>
      </tp>
      <tp t="s">
        <v/>
        <stp/>
        <stp>*H</stp>
        <stp>AUDCAD a0-fx</stp>
        <stp>BarTime</stp>
        <stp>D</stp>
        <stp/>
        <stp>198</stp>
        <tr r="A202" s="1"/>
      </tp>
      <tp t="s">
        <v/>
        <stp/>
        <stp>*H</stp>
        <stp>AUDCAD a0-fx</stp>
        <stp>BarTime</stp>
        <stp>D</stp>
        <stp/>
        <stp>107</stp>
        <tr r="A111" s="1"/>
      </tp>
      <tp t="s">
        <v/>
        <stp/>
        <stp>*H</stp>
        <stp>AUDCAD a0-fx</stp>
        <stp>BarTime</stp>
        <stp>D</stp>
        <stp/>
        <stp>106</stp>
        <tr r="A110" s="1"/>
      </tp>
      <tp t="s">
        <v/>
        <stp/>
        <stp>*H</stp>
        <stp>AUDCAD a0-fx</stp>
        <stp>BarTime</stp>
        <stp>D</stp>
        <stp/>
        <stp>105</stp>
        <tr r="A109" s="1"/>
      </tp>
      <tp t="s">
        <v/>
        <stp/>
        <stp>*H</stp>
        <stp>AUDCAD a0-fx</stp>
        <stp>BarTime</stp>
        <stp>D</stp>
        <stp/>
        <stp>104</stp>
        <tr r="A108" s="1"/>
      </tp>
      <tp t="s">
        <v/>
        <stp/>
        <stp>*H</stp>
        <stp>AUDCAD a0-fx</stp>
        <stp>BarTime</stp>
        <stp>D</stp>
        <stp/>
        <stp>103</stp>
        <tr r="A107" s="1"/>
      </tp>
      <tp t="s">
        <v/>
        <stp/>
        <stp>*H</stp>
        <stp>AUDCAD a0-fx</stp>
        <stp>BarTime</stp>
        <stp>D</stp>
        <stp/>
        <stp>102</stp>
        <tr r="A106" s="1"/>
      </tp>
      <tp t="s">
        <v/>
        <stp/>
        <stp>*H</stp>
        <stp>AUDCAD a0-fx</stp>
        <stp>BarTime</stp>
        <stp>D</stp>
        <stp/>
        <stp>101</stp>
        <tr r="A105" s="1"/>
      </tp>
      <tp t="s">
        <v/>
        <stp/>
        <stp>*H</stp>
        <stp>AUDCAD a0-fx</stp>
        <stp>BarTime</stp>
        <stp>D</stp>
        <stp/>
        <stp>100</stp>
        <tr r="A104" s="1"/>
      </tp>
      <tp t="s">
        <v/>
        <stp/>
        <stp>*H</stp>
        <stp>AUDCAD a0-fx</stp>
        <stp>BarTime</stp>
        <stp>D</stp>
        <stp/>
        <stp>109</stp>
        <tr r="A113" s="1"/>
      </tp>
      <tp t="s">
        <v/>
        <stp/>
        <stp>*H</stp>
        <stp>AUDCAD a0-fx</stp>
        <stp>BarTime</stp>
        <stp>D</stp>
        <stp/>
        <stp>108</stp>
        <tr r="A112" s="1"/>
      </tp>
      <tp t="s">
        <v/>
        <stp/>
        <stp>*H</stp>
        <stp>AUDCAD a0-fx</stp>
        <stp>BarTime</stp>
        <stp>D</stp>
        <stp/>
        <stp>117</stp>
        <tr r="A121" s="1"/>
      </tp>
      <tp t="s">
        <v/>
        <stp/>
        <stp>*H</stp>
        <stp>AUDCAD a0-fx</stp>
        <stp>BarTime</stp>
        <stp>D</stp>
        <stp/>
        <stp>116</stp>
        <tr r="A120" s="1"/>
      </tp>
      <tp t="s">
        <v/>
        <stp/>
        <stp>*H</stp>
        <stp>AUDCAD a0-fx</stp>
        <stp>BarTime</stp>
        <stp>D</stp>
        <stp/>
        <stp>115</stp>
        <tr r="A119" s="1"/>
      </tp>
      <tp t="s">
        <v/>
        <stp/>
        <stp>*H</stp>
        <stp>AUDCAD a0-fx</stp>
        <stp>BarTime</stp>
        <stp>D</stp>
        <stp/>
        <stp>114</stp>
        <tr r="A118" s="1"/>
      </tp>
      <tp t="s">
        <v/>
        <stp/>
        <stp>*H</stp>
        <stp>AUDCAD a0-fx</stp>
        <stp>BarTime</stp>
        <stp>D</stp>
        <stp/>
        <stp>113</stp>
        <tr r="A117" s="1"/>
      </tp>
      <tp t="s">
        <v/>
        <stp/>
        <stp>*H</stp>
        <stp>AUDCAD a0-fx</stp>
        <stp>BarTime</stp>
        <stp>D</stp>
        <stp/>
        <stp>112</stp>
        <tr r="A116" s="1"/>
      </tp>
      <tp t="s">
        <v/>
        <stp/>
        <stp>*H</stp>
        <stp>AUDCAD a0-fx</stp>
        <stp>BarTime</stp>
        <stp>D</stp>
        <stp/>
        <stp>111</stp>
        <tr r="A115" s="1"/>
      </tp>
      <tp t="s">
        <v/>
        <stp/>
        <stp>*H</stp>
        <stp>AUDCAD a0-fx</stp>
        <stp>BarTime</stp>
        <stp>D</stp>
        <stp/>
        <stp>110</stp>
        <tr r="A114" s="1"/>
      </tp>
      <tp t="s">
        <v/>
        <stp/>
        <stp>*H</stp>
        <stp>AUDCAD a0-fx</stp>
        <stp>BarTime</stp>
        <stp>D</stp>
        <stp/>
        <stp>119</stp>
        <tr r="A123" s="1"/>
      </tp>
      <tp t="s">
        <v/>
        <stp/>
        <stp>*H</stp>
        <stp>AUDCAD a0-fx</stp>
        <stp>BarTime</stp>
        <stp>D</stp>
        <stp/>
        <stp>118</stp>
        <tr r="A122" s="1"/>
      </tp>
      <tp t="s">
        <v/>
        <stp/>
        <stp>*H</stp>
        <stp>AUDCAD a0-fx</stp>
        <stp>BarTime</stp>
        <stp>D</stp>
        <stp/>
        <stp>127</stp>
        <tr r="A131" s="1"/>
      </tp>
      <tp t="s">
        <v/>
        <stp/>
        <stp>*H</stp>
        <stp>AUDCAD a0-fx</stp>
        <stp>BarTime</stp>
        <stp>D</stp>
        <stp/>
        <stp>126</stp>
        <tr r="A130" s="1"/>
      </tp>
      <tp t="s">
        <v/>
        <stp/>
        <stp>*H</stp>
        <stp>AUDCAD a0-fx</stp>
        <stp>BarTime</stp>
        <stp>D</stp>
        <stp/>
        <stp>125</stp>
        <tr r="A129" s="1"/>
      </tp>
      <tp t="s">
        <v/>
        <stp/>
        <stp>*H</stp>
        <stp>AUDCAD a0-fx</stp>
        <stp>BarTime</stp>
        <stp>D</stp>
        <stp/>
        <stp>124</stp>
        <tr r="A128" s="1"/>
      </tp>
      <tp t="s">
        <v/>
        <stp/>
        <stp>*H</stp>
        <stp>AUDCAD a0-fx</stp>
        <stp>BarTime</stp>
        <stp>D</stp>
        <stp/>
        <stp>123</stp>
        <tr r="A127" s="1"/>
      </tp>
      <tp t="s">
        <v/>
        <stp/>
        <stp>*H</stp>
        <stp>AUDCAD a0-fx</stp>
        <stp>BarTime</stp>
        <stp>D</stp>
        <stp/>
        <stp>122</stp>
        <tr r="A126" s="1"/>
      </tp>
      <tp t="s">
        <v/>
        <stp/>
        <stp>*H</stp>
        <stp>AUDCAD a0-fx</stp>
        <stp>BarTime</stp>
        <stp>D</stp>
        <stp/>
        <stp>121</stp>
        <tr r="A125" s="1"/>
      </tp>
      <tp t="s">
        <v/>
        <stp/>
        <stp>*H</stp>
        <stp>AUDCAD a0-fx</stp>
        <stp>BarTime</stp>
        <stp>D</stp>
        <stp/>
        <stp>120</stp>
        <tr r="A124" s="1"/>
      </tp>
      <tp t="s">
        <v/>
        <stp/>
        <stp>*H</stp>
        <stp>AUDCAD a0-fx</stp>
        <stp>BarTime</stp>
        <stp>D</stp>
        <stp/>
        <stp>129</stp>
        <tr r="A133" s="1"/>
      </tp>
      <tp t="s">
        <v/>
        <stp/>
        <stp>*H</stp>
        <stp>AUDCAD a0-fx</stp>
        <stp>BarTime</stp>
        <stp>D</stp>
        <stp/>
        <stp>128</stp>
        <tr r="A132" s="1"/>
      </tp>
      <tp t="s">
        <v/>
        <stp/>
        <stp>*H</stp>
        <stp>AUDCAD a0-fx</stp>
        <stp>BarTime</stp>
        <stp>D</stp>
        <stp/>
        <stp>137</stp>
        <tr r="A141" s="1"/>
      </tp>
      <tp t="s">
        <v/>
        <stp/>
        <stp>*H</stp>
        <stp>AUDCAD a0-fx</stp>
        <stp>BarTime</stp>
        <stp>D</stp>
        <stp/>
        <stp>136</stp>
        <tr r="A140" s="1"/>
      </tp>
      <tp t="s">
        <v/>
        <stp/>
        <stp>*H</stp>
        <stp>AUDCAD a0-fx</stp>
        <stp>BarTime</stp>
        <stp>D</stp>
        <stp/>
        <stp>135</stp>
        <tr r="A139" s="1"/>
      </tp>
      <tp t="s">
        <v/>
        <stp/>
        <stp>*H</stp>
        <stp>AUDCAD a0-fx</stp>
        <stp>BarTime</stp>
        <stp>D</stp>
        <stp/>
        <stp>134</stp>
        <tr r="A138" s="1"/>
      </tp>
      <tp t="s">
        <v/>
        <stp/>
        <stp>*H</stp>
        <stp>AUDCAD a0-fx</stp>
        <stp>BarTime</stp>
        <stp>D</stp>
        <stp/>
        <stp>133</stp>
        <tr r="A137" s="1"/>
      </tp>
      <tp t="s">
        <v/>
        <stp/>
        <stp>*H</stp>
        <stp>AUDCAD a0-fx</stp>
        <stp>BarTime</stp>
        <stp>D</stp>
        <stp/>
        <stp>132</stp>
        <tr r="A136" s="1"/>
      </tp>
      <tp t="s">
        <v/>
        <stp/>
        <stp>*H</stp>
        <stp>AUDCAD a0-fx</stp>
        <stp>BarTime</stp>
        <stp>D</stp>
        <stp/>
        <stp>131</stp>
        <tr r="A135" s="1"/>
      </tp>
      <tp t="s">
        <v/>
        <stp/>
        <stp>*H</stp>
        <stp>AUDCAD a0-fx</stp>
        <stp>BarTime</stp>
        <stp>D</stp>
        <stp/>
        <stp>130</stp>
        <tr r="A134" s="1"/>
      </tp>
      <tp t="s">
        <v/>
        <stp/>
        <stp>*H</stp>
        <stp>AUDCAD a0-fx</stp>
        <stp>BarTime</stp>
        <stp>D</stp>
        <stp/>
        <stp>139</stp>
        <tr r="A143" s="1"/>
      </tp>
      <tp t="s">
        <v/>
        <stp/>
        <stp>*H</stp>
        <stp>AUDCAD a0-fx</stp>
        <stp>BarTime</stp>
        <stp>D</stp>
        <stp/>
        <stp>138</stp>
        <tr r="A142" s="1"/>
      </tp>
      <tp t="s">
        <v/>
        <stp/>
        <stp>*H</stp>
        <stp>AUDCAD a0-fx</stp>
        <stp>BarTime</stp>
        <stp>D</stp>
        <stp/>
        <stp>147</stp>
        <tr r="A151" s="1"/>
      </tp>
      <tp t="s">
        <v/>
        <stp/>
        <stp>*H</stp>
        <stp>AUDCAD a0-fx</stp>
        <stp>BarTime</stp>
        <stp>D</stp>
        <stp/>
        <stp>146</stp>
        <tr r="A150" s="1"/>
      </tp>
      <tp t="s">
        <v/>
        <stp/>
        <stp>*H</stp>
        <stp>AUDCAD a0-fx</stp>
        <stp>BarTime</stp>
        <stp>D</stp>
        <stp/>
        <stp>145</stp>
        <tr r="A149" s="1"/>
      </tp>
      <tp t="s">
        <v/>
        <stp/>
        <stp>*H</stp>
        <stp>AUDCAD a0-fx</stp>
        <stp>BarTime</stp>
        <stp>D</stp>
        <stp/>
        <stp>144</stp>
        <tr r="A148" s="1"/>
      </tp>
      <tp t="s">
        <v/>
        <stp/>
        <stp>*H</stp>
        <stp>AUDCAD a0-fx</stp>
        <stp>BarTime</stp>
        <stp>D</stp>
        <stp/>
        <stp>143</stp>
        <tr r="A147" s="1"/>
      </tp>
      <tp t="s">
        <v/>
        <stp/>
        <stp>*H</stp>
        <stp>AUDCAD a0-fx</stp>
        <stp>BarTime</stp>
        <stp>D</stp>
        <stp/>
        <stp>142</stp>
        <tr r="A146" s="1"/>
      </tp>
      <tp t="s">
        <v/>
        <stp/>
        <stp>*H</stp>
        <stp>AUDCAD a0-fx</stp>
        <stp>BarTime</stp>
        <stp>D</stp>
        <stp/>
        <stp>141</stp>
        <tr r="A145" s="1"/>
      </tp>
      <tp t="s">
        <v/>
        <stp/>
        <stp>*H</stp>
        <stp>AUDCAD a0-fx</stp>
        <stp>BarTime</stp>
        <stp>D</stp>
        <stp/>
        <stp>140</stp>
        <tr r="A144" s="1"/>
      </tp>
      <tp t="s">
        <v/>
        <stp/>
        <stp>*H</stp>
        <stp>AUDCAD a0-fx</stp>
        <stp>BarTime</stp>
        <stp>D</stp>
        <stp/>
        <stp>149</stp>
        <tr r="A153" s="1"/>
      </tp>
      <tp t="s">
        <v/>
        <stp/>
        <stp>*H</stp>
        <stp>AUDCAD a0-fx</stp>
        <stp>BarTime</stp>
        <stp>D</stp>
        <stp/>
        <stp>148</stp>
        <tr r="A152" s="1"/>
      </tp>
      <tp t="s">
        <v/>
        <stp/>
        <stp>*H</stp>
        <stp>AUDCAD a0-fx</stp>
        <stp>BarTime</stp>
        <stp>D</stp>
        <stp/>
        <stp>157</stp>
        <tr r="A161" s="1"/>
      </tp>
      <tp t="s">
        <v/>
        <stp/>
        <stp>*H</stp>
        <stp>AUDCAD a0-fx</stp>
        <stp>BarTime</stp>
        <stp>D</stp>
        <stp/>
        <stp>156</stp>
        <tr r="A160" s="1"/>
      </tp>
      <tp t="s">
        <v/>
        <stp/>
        <stp>*H</stp>
        <stp>AUDCAD a0-fx</stp>
        <stp>BarTime</stp>
        <stp>D</stp>
        <stp/>
        <stp>155</stp>
        <tr r="A159" s="1"/>
      </tp>
      <tp t="s">
        <v/>
        <stp/>
        <stp>*H</stp>
        <stp>AUDCAD a0-fx</stp>
        <stp>BarTime</stp>
        <stp>D</stp>
        <stp/>
        <stp>154</stp>
        <tr r="A158" s="1"/>
      </tp>
      <tp t="s">
        <v/>
        <stp/>
        <stp>*H</stp>
        <stp>AUDCAD a0-fx</stp>
        <stp>BarTime</stp>
        <stp>D</stp>
        <stp/>
        <stp>153</stp>
        <tr r="A157" s="1"/>
      </tp>
      <tp t="s">
        <v/>
        <stp/>
        <stp>*H</stp>
        <stp>AUDCAD a0-fx</stp>
        <stp>BarTime</stp>
        <stp>D</stp>
        <stp/>
        <stp>152</stp>
        <tr r="A156" s="1"/>
      </tp>
      <tp t="s">
        <v/>
        <stp/>
        <stp>*H</stp>
        <stp>AUDCAD a0-fx</stp>
        <stp>BarTime</stp>
        <stp>D</stp>
        <stp/>
        <stp>151</stp>
        <tr r="A155" s="1"/>
      </tp>
      <tp t="s">
        <v/>
        <stp/>
        <stp>*H</stp>
        <stp>AUDCAD a0-fx</stp>
        <stp>BarTime</stp>
        <stp>D</stp>
        <stp/>
        <stp>150</stp>
        <tr r="A154" s="1"/>
      </tp>
      <tp t="s">
        <v/>
        <stp/>
        <stp>*H</stp>
        <stp>AUDCAD a0-fx</stp>
        <stp>BarTime</stp>
        <stp>D</stp>
        <stp/>
        <stp>159</stp>
        <tr r="A163" s="1"/>
      </tp>
      <tp t="s">
        <v/>
        <stp/>
        <stp>*H</stp>
        <stp>AUDCAD a0-fx</stp>
        <stp>BarTime</stp>
        <stp>D</stp>
        <stp/>
        <stp>158</stp>
        <tr r="A162" s="1"/>
      </tp>
      <tp t="s">
        <v/>
        <stp/>
        <stp>*H</stp>
        <stp>AUDCAD a0-fx</stp>
        <stp>BarTime</stp>
        <stp>D</stp>
        <stp/>
        <stp>167</stp>
        <tr r="A171" s="1"/>
      </tp>
      <tp t="s">
        <v/>
        <stp/>
        <stp>*H</stp>
        <stp>AUDCAD a0-fx</stp>
        <stp>BarTime</stp>
        <stp>D</stp>
        <stp/>
        <stp>166</stp>
        <tr r="A170" s="1"/>
      </tp>
      <tp t="s">
        <v/>
        <stp/>
        <stp>*H</stp>
        <stp>AUDCAD a0-fx</stp>
        <stp>BarTime</stp>
        <stp>D</stp>
        <stp/>
        <stp>165</stp>
        <tr r="A169" s="1"/>
      </tp>
      <tp t="s">
        <v/>
        <stp/>
        <stp>*H</stp>
        <stp>AUDCAD a0-fx</stp>
        <stp>BarTime</stp>
        <stp>D</stp>
        <stp/>
        <stp>164</stp>
        <tr r="A168" s="1"/>
      </tp>
      <tp t="s">
        <v/>
        <stp/>
        <stp>*H</stp>
        <stp>AUDCAD a0-fx</stp>
        <stp>BarTime</stp>
        <stp>D</stp>
        <stp/>
        <stp>163</stp>
        <tr r="A167" s="1"/>
      </tp>
      <tp t="s">
        <v/>
        <stp/>
        <stp>*H</stp>
        <stp>AUDCAD a0-fx</stp>
        <stp>BarTime</stp>
        <stp>D</stp>
        <stp/>
        <stp>162</stp>
        <tr r="A166" s="1"/>
      </tp>
      <tp t="s">
        <v/>
        <stp/>
        <stp>*H</stp>
        <stp>AUDCAD a0-fx</stp>
        <stp>BarTime</stp>
        <stp>D</stp>
        <stp/>
        <stp>161</stp>
        <tr r="A165" s="1"/>
      </tp>
      <tp t="s">
        <v/>
        <stp/>
        <stp>*H</stp>
        <stp>AUDCAD a0-fx</stp>
        <stp>BarTime</stp>
        <stp>D</stp>
        <stp/>
        <stp>160</stp>
        <tr r="A164" s="1"/>
      </tp>
      <tp t="s">
        <v/>
        <stp/>
        <stp>*H</stp>
        <stp>AUDCAD a0-fx</stp>
        <stp>BarTime</stp>
        <stp>D</stp>
        <stp/>
        <stp>169</stp>
        <tr r="A173" s="1"/>
      </tp>
      <tp t="s">
        <v/>
        <stp/>
        <stp>*H</stp>
        <stp>AUDCAD a0-fx</stp>
        <stp>BarTime</stp>
        <stp>D</stp>
        <stp/>
        <stp>168</stp>
        <tr r="A172" s="1"/>
      </tp>
      <tp t="s">
        <v/>
        <stp/>
        <stp>*H</stp>
        <stp>AUDCAD a0-fx</stp>
        <stp>BarTime</stp>
        <stp>D</stp>
        <stp/>
        <stp>177</stp>
        <tr r="A181" s="1"/>
      </tp>
      <tp t="s">
        <v/>
        <stp/>
        <stp>*H</stp>
        <stp>AUDCAD a0-fx</stp>
        <stp>BarTime</stp>
        <stp>D</stp>
        <stp/>
        <stp>176</stp>
        <tr r="A180" s="1"/>
      </tp>
      <tp t="s">
        <v/>
        <stp/>
        <stp>*H</stp>
        <stp>AUDCAD a0-fx</stp>
        <stp>BarTime</stp>
        <stp>D</stp>
        <stp/>
        <stp>175</stp>
        <tr r="A179" s="1"/>
      </tp>
      <tp t="s">
        <v/>
        <stp/>
        <stp>*H</stp>
        <stp>AUDCAD a0-fx</stp>
        <stp>BarTime</stp>
        <stp>D</stp>
        <stp/>
        <stp>174</stp>
        <tr r="A178" s="1"/>
      </tp>
      <tp t="s">
        <v/>
        <stp/>
        <stp>*H</stp>
        <stp>AUDCAD a0-fx</stp>
        <stp>BarTime</stp>
        <stp>D</stp>
        <stp/>
        <stp>173</stp>
        <tr r="A177" s="1"/>
      </tp>
      <tp t="s">
        <v/>
        <stp/>
        <stp>*H</stp>
        <stp>AUDCAD a0-fx</stp>
        <stp>BarTime</stp>
        <stp>D</stp>
        <stp/>
        <stp>172</stp>
        <tr r="A176" s="1"/>
      </tp>
      <tp t="s">
        <v/>
        <stp/>
        <stp>*H</stp>
        <stp>AUDCAD a0-fx</stp>
        <stp>BarTime</stp>
        <stp>D</stp>
        <stp/>
        <stp>171</stp>
        <tr r="A175" s="1"/>
      </tp>
      <tp t="s">
        <v/>
        <stp/>
        <stp>*H</stp>
        <stp>AUDCAD a0-fx</stp>
        <stp>BarTime</stp>
        <stp>D</stp>
        <stp/>
        <stp>170</stp>
        <tr r="A174" s="1"/>
      </tp>
      <tp t="s">
        <v/>
        <stp/>
        <stp>*H</stp>
        <stp>AUDCAD a0-fx</stp>
        <stp>BarTime</stp>
        <stp>D</stp>
        <stp/>
        <stp>179</stp>
        <tr r="A183" s="1"/>
      </tp>
      <tp t="s">
        <v/>
        <stp/>
        <stp>*H</stp>
        <stp>AUDCAD a0-fx</stp>
        <stp>BarTime</stp>
        <stp>D</stp>
        <stp/>
        <stp>178</stp>
        <tr r="A182" s="1"/>
      </tp>
      <tp t="s">
        <v/>
        <stp/>
        <stp>*H</stp>
        <stp>AUDCAD a0-fx</stp>
        <stp>Low</stp>
        <stp>D</stp>
        <stp/>
        <stp>2</stp>
        <tr r="D6" s="1"/>
      </tp>
      <tp t="s">
        <v/>
        <stp/>
        <stp>*H</stp>
        <stp>AUDCAD a0-fx</stp>
        <stp>Low</stp>
        <stp>D</stp>
        <stp/>
        <stp>3</stp>
        <tr r="D7" s="1"/>
      </tp>
      <tp t="s">
        <v/>
        <stp/>
        <stp>*H</stp>
        <stp>AUDCAD a0-fx</stp>
        <stp>Low</stp>
        <stp>D</stp>
        <stp/>
        <stp>0</stp>
        <tr r="D4" s="1"/>
      </tp>
      <tp t="s">
        <v/>
        <stp/>
        <stp>*H</stp>
        <stp>AUDCAD a0-fx</stp>
        <stp>Low</stp>
        <stp>D</stp>
        <stp/>
        <stp>1</stp>
        <tr r="D5" s="1"/>
      </tp>
      <tp t="s">
        <v/>
        <stp/>
        <stp>*H</stp>
        <stp>AUDCAD a0-fx</stp>
        <stp>Low</stp>
        <stp>D</stp>
        <stp/>
        <stp>6</stp>
        <tr r="D10" s="1"/>
      </tp>
      <tp t="s">
        <v/>
        <stp/>
        <stp>*H</stp>
        <stp>AUDCAD a0-fx</stp>
        <stp>Low</stp>
        <stp>D</stp>
        <stp/>
        <stp>7</stp>
        <tr r="D11" s="1"/>
      </tp>
      <tp t="s">
        <v/>
        <stp/>
        <stp>*H</stp>
        <stp>AUDCAD a0-fx</stp>
        <stp>Low</stp>
        <stp>D</stp>
        <stp/>
        <stp>4</stp>
        <tr r="D8" s="1"/>
      </tp>
      <tp t="s">
        <v/>
        <stp/>
        <stp>*H</stp>
        <stp>AUDCAD a0-fx</stp>
        <stp>Low</stp>
        <stp>D</stp>
        <stp/>
        <stp>5</stp>
        <tr r="D9" s="1"/>
      </tp>
      <tp t="s">
        <v/>
        <stp/>
        <stp>*H</stp>
        <stp>AUDCAD a0-fx</stp>
        <stp>Low</stp>
        <stp>D</stp>
        <stp/>
        <stp>8</stp>
        <tr r="D12" s="1"/>
      </tp>
      <tp t="s">
        <v/>
        <stp/>
        <stp>*H</stp>
        <stp>AUDCAD a0-fx</stp>
        <stp>Low</stp>
        <stp>D</stp>
        <stp/>
        <stp>9</stp>
        <tr r="D13" s="1"/>
      </tp>
      <tp t="s">
        <v/>
        <stp/>
        <stp>*H</stp>
        <stp>AUDCAD a0-fx</stp>
        <stp>Open</stp>
        <stp>D</stp>
        <stp/>
        <stp>99</stp>
        <tr r="B103" s="1"/>
      </tp>
      <tp t="s">
        <v/>
        <stp/>
        <stp>*H</stp>
        <stp>AUDCAD a0-fx</stp>
        <stp>Open</stp>
        <stp>D</stp>
        <stp/>
        <stp>98</stp>
        <tr r="B102" s="1"/>
      </tp>
      <tp t="s">
        <v/>
        <stp/>
        <stp>*H</stp>
        <stp>AUDCAD a0-fx</stp>
        <stp>Open</stp>
        <stp>D</stp>
        <stp/>
        <stp>97</stp>
        <tr r="B101" s="1"/>
      </tp>
      <tp t="s">
        <v/>
        <stp/>
        <stp>*H</stp>
        <stp>AUDCAD a0-fx</stp>
        <stp>Open</stp>
        <stp>D</stp>
        <stp/>
        <stp>96</stp>
        <tr r="B100" s="1"/>
      </tp>
      <tp t="s">
        <v/>
        <stp/>
        <stp>*H</stp>
        <stp>AUDCAD a0-fx</stp>
        <stp>Open</stp>
        <stp>D</stp>
        <stp/>
        <stp>95</stp>
        <tr r="B99" s="1"/>
      </tp>
      <tp t="s">
        <v/>
        <stp/>
        <stp>*H</stp>
        <stp>AUDCAD a0-fx</stp>
        <stp>Open</stp>
        <stp>D</stp>
        <stp/>
        <stp>94</stp>
        <tr r="B98" s="1"/>
      </tp>
      <tp t="s">
        <v/>
        <stp/>
        <stp>*H</stp>
        <stp>AUDCAD a0-fx</stp>
        <stp>Open</stp>
        <stp>D</stp>
        <stp/>
        <stp>93</stp>
        <tr r="B97" s="1"/>
      </tp>
      <tp t="s">
        <v/>
        <stp/>
        <stp>*H</stp>
        <stp>AUDCAD a0-fx</stp>
        <stp>Open</stp>
        <stp>D</stp>
        <stp/>
        <stp>92</stp>
        <tr r="B96" s="1"/>
      </tp>
      <tp t="s">
        <v/>
        <stp/>
        <stp>*H</stp>
        <stp>AUDCAD a0-fx</stp>
        <stp>Open</stp>
        <stp>D</stp>
        <stp/>
        <stp>91</stp>
        <tr r="B95" s="1"/>
      </tp>
      <tp t="s">
        <v/>
        <stp/>
        <stp>*H</stp>
        <stp>AUDCAD a0-fx</stp>
        <stp>Open</stp>
        <stp>D</stp>
        <stp/>
        <stp>90</stp>
        <tr r="B94" s="1"/>
      </tp>
      <tp t="s">
        <v/>
        <stp/>
        <stp>*H</stp>
        <stp>AUDCAD a0-fx</stp>
        <stp>Open</stp>
        <stp>D</stp>
        <stp/>
        <stp>89</stp>
        <tr r="B93" s="1"/>
      </tp>
      <tp t="s">
        <v/>
        <stp/>
        <stp>*H</stp>
        <stp>AUDCAD a0-fx</stp>
        <stp>Open</stp>
        <stp>D</stp>
        <stp/>
        <stp>88</stp>
        <tr r="B92" s="1"/>
      </tp>
      <tp t="s">
        <v/>
        <stp/>
        <stp>*H</stp>
        <stp>AUDCAD a0-fx</stp>
        <stp>Open</stp>
        <stp>D</stp>
        <stp/>
        <stp>87</stp>
        <tr r="B91" s="1"/>
      </tp>
      <tp t="s">
        <v/>
        <stp/>
        <stp>*H</stp>
        <stp>AUDCAD a0-fx</stp>
        <stp>Open</stp>
        <stp>D</stp>
        <stp/>
        <stp>86</stp>
        <tr r="B90" s="1"/>
      </tp>
      <tp t="s">
        <v/>
        <stp/>
        <stp>*H</stp>
        <stp>AUDCAD a0-fx</stp>
        <stp>Open</stp>
        <stp>D</stp>
        <stp/>
        <stp>85</stp>
        <tr r="B89" s="1"/>
      </tp>
      <tp t="s">
        <v/>
        <stp/>
        <stp>*H</stp>
        <stp>AUDCAD a0-fx</stp>
        <stp>Open</stp>
        <stp>D</stp>
        <stp/>
        <stp>84</stp>
        <tr r="B88" s="1"/>
      </tp>
      <tp t="s">
        <v/>
        <stp/>
        <stp>*H</stp>
        <stp>AUDCAD a0-fx</stp>
        <stp>Open</stp>
        <stp>D</stp>
        <stp/>
        <stp>83</stp>
        <tr r="B87" s="1"/>
      </tp>
      <tp t="s">
        <v/>
        <stp/>
        <stp>*H</stp>
        <stp>AUDCAD a0-fx</stp>
        <stp>Open</stp>
        <stp>D</stp>
        <stp/>
        <stp>82</stp>
        <tr r="B86" s="1"/>
      </tp>
      <tp t="s">
        <v/>
        <stp/>
        <stp>*H</stp>
        <stp>AUDCAD a0-fx</stp>
        <stp>Open</stp>
        <stp>D</stp>
        <stp/>
        <stp>81</stp>
        <tr r="B85" s="1"/>
      </tp>
      <tp t="s">
        <v/>
        <stp/>
        <stp>*H</stp>
        <stp>AUDCAD a0-fx</stp>
        <stp>Open</stp>
        <stp>D</stp>
        <stp/>
        <stp>80</stp>
        <tr r="B84" s="1"/>
      </tp>
      <tp t="s">
        <v/>
        <stp/>
        <stp>*H</stp>
        <stp>AUDCAD a0-fx</stp>
        <stp>Open</stp>
        <stp>D</stp>
        <stp/>
        <stp>19</stp>
        <tr r="B23" s="1"/>
      </tp>
      <tp t="s">
        <v/>
        <stp/>
        <stp>*H</stp>
        <stp>AUDCAD a0-fx</stp>
        <stp>Open</stp>
        <stp>D</stp>
        <stp/>
        <stp>18</stp>
        <tr r="B22" s="1"/>
      </tp>
      <tp t="s">
        <v/>
        <stp/>
        <stp>*H</stp>
        <stp>AUDCAD a0-fx</stp>
        <stp>Open</stp>
        <stp>D</stp>
        <stp/>
        <stp>17</stp>
        <tr r="B21" s="1"/>
      </tp>
      <tp t="s">
        <v/>
        <stp/>
        <stp>*H</stp>
        <stp>AUDCAD a0-fx</stp>
        <stp>Open</stp>
        <stp>D</stp>
        <stp/>
        <stp>16</stp>
        <tr r="B20" s="1"/>
      </tp>
      <tp t="s">
        <v/>
        <stp/>
        <stp>*H</stp>
        <stp>AUDCAD a0-fx</stp>
        <stp>Open</stp>
        <stp>D</stp>
        <stp/>
        <stp>15</stp>
        <tr r="B19" s="1"/>
      </tp>
      <tp t="s">
        <v/>
        <stp/>
        <stp>*H</stp>
        <stp>AUDCAD a0-fx</stp>
        <stp>Open</stp>
        <stp>D</stp>
        <stp/>
        <stp>14</stp>
        <tr r="B18" s="1"/>
      </tp>
      <tp t="s">
        <v/>
        <stp/>
        <stp>*H</stp>
        <stp>AUDCAD a0-fx</stp>
        <stp>Open</stp>
        <stp>D</stp>
        <stp/>
        <stp>13</stp>
        <tr r="B17" s="1"/>
      </tp>
      <tp t="s">
        <v/>
        <stp/>
        <stp>*H</stp>
        <stp>AUDCAD a0-fx</stp>
        <stp>Open</stp>
        <stp>D</stp>
        <stp/>
        <stp>12</stp>
        <tr r="B16" s="1"/>
      </tp>
      <tp t="s">
        <v/>
        <stp/>
        <stp>*H</stp>
        <stp>AUDCAD a0-fx</stp>
        <stp>Open</stp>
        <stp>D</stp>
        <stp/>
        <stp>11</stp>
        <tr r="B15" s="1"/>
      </tp>
      <tp t="s">
        <v/>
        <stp/>
        <stp>*H</stp>
        <stp>AUDCAD a0-fx</stp>
        <stp>Open</stp>
        <stp>D</stp>
        <stp/>
        <stp>10</stp>
        <tr r="B14" s="1"/>
      </tp>
      <tp t="s">
        <v/>
        <stp/>
        <stp>*H</stp>
        <stp>AUDCAD a0-fx</stp>
        <stp>Open</stp>
        <stp>D</stp>
        <stp/>
        <stp>39</stp>
        <tr r="B43" s="1"/>
      </tp>
      <tp t="s">
        <v/>
        <stp/>
        <stp>*H</stp>
        <stp>AUDCAD a0-fx</stp>
        <stp>Open</stp>
        <stp>D</stp>
        <stp/>
        <stp>38</stp>
        <tr r="B42" s="1"/>
      </tp>
      <tp t="s">
        <v/>
        <stp/>
        <stp>*H</stp>
        <stp>AUDCAD a0-fx</stp>
        <stp>Open</stp>
        <stp>D</stp>
        <stp/>
        <stp>37</stp>
        <tr r="B41" s="1"/>
      </tp>
      <tp t="s">
        <v/>
        <stp/>
        <stp>*H</stp>
        <stp>AUDCAD a0-fx</stp>
        <stp>Open</stp>
        <stp>D</stp>
        <stp/>
        <stp>36</stp>
        <tr r="B40" s="1"/>
      </tp>
      <tp t="s">
        <v/>
        <stp/>
        <stp>*H</stp>
        <stp>AUDCAD a0-fx</stp>
        <stp>Open</stp>
        <stp>D</stp>
        <stp/>
        <stp>35</stp>
        <tr r="B39" s="1"/>
      </tp>
      <tp t="s">
        <v/>
        <stp/>
        <stp>*H</stp>
        <stp>AUDCAD a0-fx</stp>
        <stp>Open</stp>
        <stp>D</stp>
        <stp/>
        <stp>34</stp>
        <tr r="B38" s="1"/>
      </tp>
      <tp t="s">
        <v/>
        <stp/>
        <stp>*H</stp>
        <stp>AUDCAD a0-fx</stp>
        <stp>Open</stp>
        <stp>D</stp>
        <stp/>
        <stp>33</stp>
        <tr r="B37" s="1"/>
      </tp>
      <tp t="s">
        <v/>
        <stp/>
        <stp>*H</stp>
        <stp>AUDCAD a0-fx</stp>
        <stp>Open</stp>
        <stp>D</stp>
        <stp/>
        <stp>32</stp>
        <tr r="B36" s="1"/>
      </tp>
      <tp t="s">
        <v/>
        <stp/>
        <stp>*H</stp>
        <stp>AUDCAD a0-fx</stp>
        <stp>Open</stp>
        <stp>D</stp>
        <stp/>
        <stp>31</stp>
        <tr r="B35" s="1"/>
      </tp>
      <tp t="s">
        <v/>
        <stp/>
        <stp>*H</stp>
        <stp>AUDCAD a0-fx</stp>
        <stp>Open</stp>
        <stp>D</stp>
        <stp/>
        <stp>30</stp>
        <tr r="B34" s="1"/>
      </tp>
      <tp t="s">
        <v/>
        <stp/>
        <stp>*H</stp>
        <stp>AUDCAD a0-fx</stp>
        <stp>Open</stp>
        <stp>D</stp>
        <stp/>
        <stp>29</stp>
        <tr r="B33" s="1"/>
      </tp>
      <tp t="s">
        <v/>
        <stp/>
        <stp>*H</stp>
        <stp>AUDCAD a0-fx</stp>
        <stp>Open</stp>
        <stp>D</stp>
        <stp/>
        <stp>28</stp>
        <tr r="B32" s="1"/>
      </tp>
      <tp t="s">
        <v/>
        <stp/>
        <stp>*H</stp>
        <stp>AUDCAD a0-fx</stp>
        <stp>Open</stp>
        <stp>D</stp>
        <stp/>
        <stp>27</stp>
        <tr r="B31" s="1"/>
      </tp>
      <tp t="s">
        <v/>
        <stp/>
        <stp>*H</stp>
        <stp>AUDCAD a0-fx</stp>
        <stp>Open</stp>
        <stp>D</stp>
        <stp/>
        <stp>26</stp>
        <tr r="B30" s="1"/>
      </tp>
      <tp t="s">
        <v/>
        <stp/>
        <stp>*H</stp>
        <stp>AUDCAD a0-fx</stp>
        <stp>Open</stp>
        <stp>D</stp>
        <stp/>
        <stp>25</stp>
        <tr r="B29" s="1"/>
      </tp>
      <tp t="s">
        <v/>
        <stp/>
        <stp>*H</stp>
        <stp>AUDCAD a0-fx</stp>
        <stp>Open</stp>
        <stp>D</stp>
        <stp/>
        <stp>24</stp>
        <tr r="B28" s="1"/>
      </tp>
      <tp t="s">
        <v/>
        <stp/>
        <stp>*H</stp>
        <stp>AUDCAD a0-fx</stp>
        <stp>Open</stp>
        <stp>D</stp>
        <stp/>
        <stp>23</stp>
        <tr r="B27" s="1"/>
      </tp>
      <tp t="s">
        <v/>
        <stp/>
        <stp>*H</stp>
        <stp>AUDCAD a0-fx</stp>
        <stp>Open</stp>
        <stp>D</stp>
        <stp/>
        <stp>22</stp>
        <tr r="B26" s="1"/>
      </tp>
      <tp t="s">
        <v/>
        <stp/>
        <stp>*H</stp>
        <stp>AUDCAD a0-fx</stp>
        <stp>Open</stp>
        <stp>D</stp>
        <stp/>
        <stp>21</stp>
        <tr r="B25" s="1"/>
      </tp>
      <tp t="s">
        <v/>
        <stp/>
        <stp>*H</stp>
        <stp>AUDCAD a0-fx</stp>
        <stp>Open</stp>
        <stp>D</stp>
        <stp/>
        <stp>20</stp>
        <tr r="B24" s="1"/>
      </tp>
      <tp t="s">
        <v/>
        <stp/>
        <stp>*H</stp>
        <stp>AUDCAD a0-fx</stp>
        <stp>Open</stp>
        <stp>D</stp>
        <stp/>
        <stp>59</stp>
        <tr r="B63" s="1"/>
      </tp>
      <tp t="s">
        <v/>
        <stp/>
        <stp>*H</stp>
        <stp>AUDCAD a0-fx</stp>
        <stp>Open</stp>
        <stp>D</stp>
        <stp/>
        <stp>58</stp>
        <tr r="B62" s="1"/>
      </tp>
      <tp t="s">
        <v/>
        <stp/>
        <stp>*H</stp>
        <stp>AUDCAD a0-fx</stp>
        <stp>Open</stp>
        <stp>D</stp>
        <stp/>
        <stp>57</stp>
        <tr r="B61" s="1"/>
      </tp>
      <tp t="s">
        <v/>
        <stp/>
        <stp>*H</stp>
        <stp>AUDCAD a0-fx</stp>
        <stp>Open</stp>
        <stp>D</stp>
        <stp/>
        <stp>56</stp>
        <tr r="B60" s="1"/>
      </tp>
      <tp t="s">
        <v/>
        <stp/>
        <stp>*H</stp>
        <stp>AUDCAD a0-fx</stp>
        <stp>Open</stp>
        <stp>D</stp>
        <stp/>
        <stp>55</stp>
        <tr r="B59" s="1"/>
      </tp>
      <tp t="s">
        <v/>
        <stp/>
        <stp>*H</stp>
        <stp>AUDCAD a0-fx</stp>
        <stp>Open</stp>
        <stp>D</stp>
        <stp/>
        <stp>54</stp>
        <tr r="B58" s="1"/>
      </tp>
      <tp t="s">
        <v/>
        <stp/>
        <stp>*H</stp>
        <stp>AUDCAD a0-fx</stp>
        <stp>Open</stp>
        <stp>D</stp>
        <stp/>
        <stp>53</stp>
        <tr r="B57" s="1"/>
      </tp>
      <tp t="s">
        <v/>
        <stp/>
        <stp>*H</stp>
        <stp>AUDCAD a0-fx</stp>
        <stp>Open</stp>
        <stp>D</stp>
        <stp/>
        <stp>52</stp>
        <tr r="B56" s="1"/>
      </tp>
      <tp t="s">
        <v/>
        <stp/>
        <stp>*H</stp>
        <stp>AUDCAD a0-fx</stp>
        <stp>Open</stp>
        <stp>D</stp>
        <stp/>
        <stp>51</stp>
        <tr r="B55" s="1"/>
      </tp>
      <tp t="s">
        <v/>
        <stp/>
        <stp>*H</stp>
        <stp>AUDCAD a0-fx</stp>
        <stp>Open</stp>
        <stp>D</stp>
        <stp/>
        <stp>50</stp>
        <tr r="B54" s="1"/>
      </tp>
      <tp t="s">
        <v/>
        <stp/>
        <stp>*H</stp>
        <stp>AUDCAD a0-fx</stp>
        <stp>Open</stp>
        <stp>D</stp>
        <stp/>
        <stp>49</stp>
        <tr r="B53" s="1"/>
      </tp>
      <tp t="s">
        <v/>
        <stp/>
        <stp>*H</stp>
        <stp>AUDCAD a0-fx</stp>
        <stp>Open</stp>
        <stp>D</stp>
        <stp/>
        <stp>48</stp>
        <tr r="B52" s="1"/>
      </tp>
      <tp t="s">
        <v/>
        <stp/>
        <stp>*H</stp>
        <stp>AUDCAD a0-fx</stp>
        <stp>Open</stp>
        <stp>D</stp>
        <stp/>
        <stp>47</stp>
        <tr r="B51" s="1"/>
      </tp>
      <tp t="s">
        <v/>
        <stp/>
        <stp>*H</stp>
        <stp>AUDCAD a0-fx</stp>
        <stp>Open</stp>
        <stp>D</stp>
        <stp/>
        <stp>46</stp>
        <tr r="B50" s="1"/>
      </tp>
      <tp t="s">
        <v/>
        <stp/>
        <stp>*H</stp>
        <stp>AUDCAD a0-fx</stp>
        <stp>Open</stp>
        <stp>D</stp>
        <stp/>
        <stp>45</stp>
        <tr r="B49" s="1"/>
      </tp>
      <tp t="s">
        <v/>
        <stp/>
        <stp>*H</stp>
        <stp>AUDCAD a0-fx</stp>
        <stp>Open</stp>
        <stp>D</stp>
        <stp/>
        <stp>44</stp>
        <tr r="B48" s="1"/>
      </tp>
      <tp t="s">
        <v/>
        <stp/>
        <stp>*H</stp>
        <stp>AUDCAD a0-fx</stp>
        <stp>Open</stp>
        <stp>D</stp>
        <stp/>
        <stp>43</stp>
        <tr r="B47" s="1"/>
      </tp>
      <tp t="s">
        <v/>
        <stp/>
        <stp>*H</stp>
        <stp>AUDCAD a0-fx</stp>
        <stp>Open</stp>
        <stp>D</stp>
        <stp/>
        <stp>42</stp>
        <tr r="B46" s="1"/>
      </tp>
      <tp t="s">
        <v/>
        <stp/>
        <stp>*H</stp>
        <stp>AUDCAD a0-fx</stp>
        <stp>Open</stp>
        <stp>D</stp>
        <stp/>
        <stp>41</stp>
        <tr r="B45" s="1"/>
      </tp>
      <tp t="s">
        <v/>
        <stp/>
        <stp>*H</stp>
        <stp>AUDCAD a0-fx</stp>
        <stp>Open</stp>
        <stp>D</stp>
        <stp/>
        <stp>40</stp>
        <tr r="B44" s="1"/>
      </tp>
      <tp t="s">
        <v/>
        <stp/>
        <stp>*H</stp>
        <stp>AUDCAD a0-fx</stp>
        <stp>Open</stp>
        <stp>D</stp>
        <stp/>
        <stp>79</stp>
        <tr r="B83" s="1"/>
      </tp>
      <tp t="s">
        <v/>
        <stp/>
        <stp>*H</stp>
        <stp>AUDCAD a0-fx</stp>
        <stp>Open</stp>
        <stp>D</stp>
        <stp/>
        <stp>78</stp>
        <tr r="B82" s="1"/>
      </tp>
      <tp t="s">
        <v/>
        <stp/>
        <stp>*H</stp>
        <stp>AUDCAD a0-fx</stp>
        <stp>Open</stp>
        <stp>D</stp>
        <stp/>
        <stp>77</stp>
        <tr r="B81" s="1"/>
      </tp>
      <tp t="s">
        <v/>
        <stp/>
        <stp>*H</stp>
        <stp>AUDCAD a0-fx</stp>
        <stp>Open</stp>
        <stp>D</stp>
        <stp/>
        <stp>76</stp>
        <tr r="B80" s="1"/>
      </tp>
      <tp t="s">
        <v/>
        <stp/>
        <stp>*H</stp>
        <stp>AUDCAD a0-fx</stp>
        <stp>Open</stp>
        <stp>D</stp>
        <stp/>
        <stp>75</stp>
        <tr r="B79" s="1"/>
      </tp>
      <tp t="s">
        <v/>
        <stp/>
        <stp>*H</stp>
        <stp>AUDCAD a0-fx</stp>
        <stp>Open</stp>
        <stp>D</stp>
        <stp/>
        <stp>74</stp>
        <tr r="B78" s="1"/>
      </tp>
      <tp t="s">
        <v/>
        <stp/>
        <stp>*H</stp>
        <stp>AUDCAD a0-fx</stp>
        <stp>Open</stp>
        <stp>D</stp>
        <stp/>
        <stp>73</stp>
        <tr r="B77" s="1"/>
      </tp>
      <tp t="s">
        <v/>
        <stp/>
        <stp>*H</stp>
        <stp>AUDCAD a0-fx</stp>
        <stp>Open</stp>
        <stp>D</stp>
        <stp/>
        <stp>72</stp>
        <tr r="B76" s="1"/>
      </tp>
      <tp t="s">
        <v/>
        <stp/>
        <stp>*H</stp>
        <stp>AUDCAD a0-fx</stp>
        <stp>Open</stp>
        <stp>D</stp>
        <stp/>
        <stp>71</stp>
        <tr r="B75" s="1"/>
      </tp>
      <tp t="s">
        <v/>
        <stp/>
        <stp>*H</stp>
        <stp>AUDCAD a0-fx</stp>
        <stp>Open</stp>
        <stp>D</stp>
        <stp/>
        <stp>70</stp>
        <tr r="B74" s="1"/>
      </tp>
      <tp t="s">
        <v/>
        <stp/>
        <stp>*H</stp>
        <stp>AUDCAD a0-fx</stp>
        <stp>Open</stp>
        <stp>D</stp>
        <stp/>
        <stp>69</stp>
        <tr r="B73" s="1"/>
      </tp>
      <tp t="s">
        <v/>
        <stp/>
        <stp>*H</stp>
        <stp>AUDCAD a0-fx</stp>
        <stp>Open</stp>
        <stp>D</stp>
        <stp/>
        <stp>68</stp>
        <tr r="B72" s="1"/>
      </tp>
      <tp t="s">
        <v/>
        <stp/>
        <stp>*H</stp>
        <stp>AUDCAD a0-fx</stp>
        <stp>Open</stp>
        <stp>D</stp>
        <stp/>
        <stp>67</stp>
        <tr r="B71" s="1"/>
      </tp>
      <tp t="s">
        <v/>
        <stp/>
        <stp>*H</stp>
        <stp>AUDCAD a0-fx</stp>
        <stp>Open</stp>
        <stp>D</stp>
        <stp/>
        <stp>66</stp>
        <tr r="B70" s="1"/>
      </tp>
      <tp t="s">
        <v/>
        <stp/>
        <stp>*H</stp>
        <stp>AUDCAD a0-fx</stp>
        <stp>Open</stp>
        <stp>D</stp>
        <stp/>
        <stp>65</stp>
        <tr r="B69" s="1"/>
      </tp>
      <tp t="s">
        <v/>
        <stp/>
        <stp>*H</stp>
        <stp>AUDCAD a0-fx</stp>
        <stp>Open</stp>
        <stp>D</stp>
        <stp/>
        <stp>64</stp>
        <tr r="B68" s="1"/>
      </tp>
      <tp t="s">
        <v/>
        <stp/>
        <stp>*H</stp>
        <stp>AUDCAD a0-fx</stp>
        <stp>Open</stp>
        <stp>D</stp>
        <stp/>
        <stp>63</stp>
        <tr r="B67" s="1"/>
      </tp>
      <tp t="s">
        <v/>
        <stp/>
        <stp>*H</stp>
        <stp>AUDCAD a0-fx</stp>
        <stp>Open</stp>
        <stp>D</stp>
        <stp/>
        <stp>62</stp>
        <tr r="B66" s="1"/>
      </tp>
      <tp t="s">
        <v/>
        <stp/>
        <stp>*H</stp>
        <stp>AUDCAD a0-fx</stp>
        <stp>Open</stp>
        <stp>D</stp>
        <stp/>
        <stp>61</stp>
        <tr r="B65" s="1"/>
      </tp>
      <tp t="s">
        <v/>
        <stp/>
        <stp>*H</stp>
        <stp>AUDCAD a0-fx</stp>
        <stp>Open</stp>
        <stp>D</stp>
        <stp/>
        <stp>60</stp>
        <tr r="B64" s="1"/>
      </tp>
      <tp t="s">
        <v/>
        <stp/>
        <stp>*H</stp>
        <stp>AUDCAD a0-fx</stp>
        <stp>High</stp>
        <stp>D</stp>
        <stp/>
        <stp>86</stp>
        <tr r="C90" s="1"/>
      </tp>
      <tp t="s">
        <v/>
        <stp/>
        <stp>*H</stp>
        <stp>AUDCAD a0-fx</stp>
        <stp>High</stp>
        <stp>D</stp>
        <stp/>
        <stp>87</stp>
        <tr r="C91" s="1"/>
      </tp>
      <tp t="s">
        <v/>
        <stp/>
        <stp>*H</stp>
        <stp>AUDCAD a0-fx</stp>
        <stp>High</stp>
        <stp>D</stp>
        <stp/>
        <stp>84</stp>
        <tr r="C88" s="1"/>
      </tp>
      <tp t="s">
        <v/>
        <stp/>
        <stp>*H</stp>
        <stp>AUDCAD a0-fx</stp>
        <stp>High</stp>
        <stp>D</stp>
        <stp/>
        <stp>85</stp>
        <tr r="C89" s="1"/>
      </tp>
      <tp t="s">
        <v/>
        <stp/>
        <stp>*H</stp>
        <stp>AUDCAD a0-fx</stp>
        <stp>High</stp>
        <stp>D</stp>
        <stp/>
        <stp>82</stp>
        <tr r="C86" s="1"/>
      </tp>
      <tp t="s">
        <v/>
        <stp/>
        <stp>*H</stp>
        <stp>AUDCAD a0-fx</stp>
        <stp>High</stp>
        <stp>D</stp>
        <stp/>
        <stp>83</stp>
        <tr r="C87" s="1"/>
      </tp>
      <tp t="s">
        <v/>
        <stp/>
        <stp>*H</stp>
        <stp>AUDCAD a0-fx</stp>
        <stp>High</stp>
        <stp>D</stp>
        <stp/>
        <stp>80</stp>
        <tr r="C84" s="1"/>
      </tp>
      <tp t="s">
        <v/>
        <stp/>
        <stp>*H</stp>
        <stp>AUDCAD a0-fx</stp>
        <stp>High</stp>
        <stp>D</stp>
        <stp/>
        <stp>81</stp>
        <tr r="C85" s="1"/>
      </tp>
      <tp t="s">
        <v/>
        <stp/>
        <stp>*H</stp>
        <stp>AUDCAD a0-fx</stp>
        <stp>High</stp>
        <stp>D</stp>
        <stp/>
        <stp>88</stp>
        <tr r="C92" s="1"/>
      </tp>
      <tp t="s">
        <v/>
        <stp/>
        <stp>*H</stp>
        <stp>AUDCAD a0-fx</stp>
        <stp>High</stp>
        <stp>D</stp>
        <stp/>
        <stp>89</stp>
        <tr r="C93" s="1"/>
      </tp>
      <tp t="s">
        <v/>
        <stp/>
        <stp>*H</stp>
        <stp>AUDCAD a0-fx</stp>
        <stp>High</stp>
        <stp>D</stp>
        <stp/>
        <stp>96</stp>
        <tr r="C100" s="1"/>
      </tp>
      <tp t="s">
        <v/>
        <stp/>
        <stp>*H</stp>
        <stp>AUDCAD a0-fx</stp>
        <stp>High</stp>
        <stp>D</stp>
        <stp/>
        <stp>97</stp>
        <tr r="C101" s="1"/>
      </tp>
      <tp t="s">
        <v/>
        <stp/>
        <stp>*H</stp>
        <stp>AUDCAD a0-fx</stp>
        <stp>High</stp>
        <stp>D</stp>
        <stp/>
        <stp>94</stp>
        <tr r="C98" s="1"/>
      </tp>
      <tp t="s">
        <v/>
        <stp/>
        <stp>*H</stp>
        <stp>AUDCAD a0-fx</stp>
        <stp>High</stp>
        <stp>D</stp>
        <stp/>
        <stp>95</stp>
        <tr r="C99" s="1"/>
      </tp>
      <tp t="s">
        <v/>
        <stp/>
        <stp>*H</stp>
        <stp>AUDCAD a0-fx</stp>
        <stp>High</stp>
        <stp>D</stp>
        <stp/>
        <stp>92</stp>
        <tr r="C96" s="1"/>
      </tp>
      <tp t="s">
        <v/>
        <stp/>
        <stp>*H</stp>
        <stp>AUDCAD a0-fx</stp>
        <stp>High</stp>
        <stp>D</stp>
        <stp/>
        <stp>93</stp>
        <tr r="C97" s="1"/>
      </tp>
      <tp t="s">
        <v/>
        <stp/>
        <stp>*H</stp>
        <stp>AUDCAD a0-fx</stp>
        <stp>High</stp>
        <stp>D</stp>
        <stp/>
        <stp>90</stp>
        <tr r="C94" s="1"/>
      </tp>
      <tp t="s">
        <v/>
        <stp/>
        <stp>*H</stp>
        <stp>AUDCAD a0-fx</stp>
        <stp>High</stp>
        <stp>D</stp>
        <stp/>
        <stp>91</stp>
        <tr r="C95" s="1"/>
      </tp>
      <tp t="s">
        <v/>
        <stp/>
        <stp>*H</stp>
        <stp>AUDCAD a0-fx</stp>
        <stp>High</stp>
        <stp>D</stp>
        <stp/>
        <stp>98</stp>
        <tr r="C102" s="1"/>
      </tp>
      <tp t="s">
        <v/>
        <stp/>
        <stp>*H</stp>
        <stp>AUDCAD a0-fx</stp>
        <stp>High</stp>
        <stp>D</stp>
        <stp/>
        <stp>99</stp>
        <tr r="C103" s="1"/>
      </tp>
      <tp t="s">
        <v/>
        <stp/>
        <stp>*H</stp>
        <stp>AUDCAD a0-fx</stp>
        <stp>High</stp>
        <stp>D</stp>
        <stp/>
        <stp>66</stp>
        <tr r="C70" s="1"/>
      </tp>
      <tp t="s">
        <v/>
        <stp/>
        <stp>*H</stp>
        <stp>AUDCAD a0-fx</stp>
        <stp>High</stp>
        <stp>D</stp>
        <stp/>
        <stp>67</stp>
        <tr r="C71" s="1"/>
      </tp>
      <tp t="s">
        <v/>
        <stp/>
        <stp>*H</stp>
        <stp>AUDCAD a0-fx</stp>
        <stp>High</stp>
        <stp>D</stp>
        <stp/>
        <stp>64</stp>
        <tr r="C68" s="1"/>
      </tp>
      <tp t="s">
        <v/>
        <stp/>
        <stp>*H</stp>
        <stp>AUDCAD a0-fx</stp>
        <stp>High</stp>
        <stp>D</stp>
        <stp/>
        <stp>65</stp>
        <tr r="C69" s="1"/>
      </tp>
      <tp t="s">
        <v/>
        <stp/>
        <stp>*H</stp>
        <stp>AUDCAD a0-fx</stp>
        <stp>High</stp>
        <stp>D</stp>
        <stp/>
        <stp>62</stp>
        <tr r="C66" s="1"/>
      </tp>
      <tp t="s">
        <v/>
        <stp/>
        <stp>*H</stp>
        <stp>AUDCAD a0-fx</stp>
        <stp>High</stp>
        <stp>D</stp>
        <stp/>
        <stp>63</stp>
        <tr r="C67" s="1"/>
      </tp>
      <tp t="s">
        <v/>
        <stp/>
        <stp>*H</stp>
        <stp>AUDCAD a0-fx</stp>
        <stp>High</stp>
        <stp>D</stp>
        <stp/>
        <stp>60</stp>
        <tr r="C64" s="1"/>
      </tp>
      <tp t="s">
        <v/>
        <stp/>
        <stp>*H</stp>
        <stp>AUDCAD a0-fx</stp>
        <stp>High</stp>
        <stp>D</stp>
        <stp/>
        <stp>61</stp>
        <tr r="C65" s="1"/>
      </tp>
      <tp t="s">
        <v/>
        <stp/>
        <stp>*H</stp>
        <stp>AUDCAD a0-fx</stp>
        <stp>High</stp>
        <stp>D</stp>
        <stp/>
        <stp>68</stp>
        <tr r="C72" s="1"/>
      </tp>
      <tp t="s">
        <v/>
        <stp/>
        <stp>*H</stp>
        <stp>AUDCAD a0-fx</stp>
        <stp>High</stp>
        <stp>D</stp>
        <stp/>
        <stp>69</stp>
        <tr r="C73" s="1"/>
      </tp>
      <tp t="s">
        <v/>
        <stp/>
        <stp>*H</stp>
        <stp>AUDCAD a0-fx</stp>
        <stp>High</stp>
        <stp>D</stp>
        <stp/>
        <stp>76</stp>
        <tr r="C80" s="1"/>
      </tp>
      <tp t="s">
        <v/>
        <stp/>
        <stp>*H</stp>
        <stp>AUDCAD a0-fx</stp>
        <stp>High</stp>
        <stp>D</stp>
        <stp/>
        <stp>77</stp>
        <tr r="C81" s="1"/>
      </tp>
      <tp t="s">
        <v/>
        <stp/>
        <stp>*H</stp>
        <stp>AUDCAD a0-fx</stp>
        <stp>High</stp>
        <stp>D</stp>
        <stp/>
        <stp>74</stp>
        <tr r="C78" s="1"/>
      </tp>
      <tp t="s">
        <v/>
        <stp/>
        <stp>*H</stp>
        <stp>AUDCAD a0-fx</stp>
        <stp>High</stp>
        <stp>D</stp>
        <stp/>
        <stp>75</stp>
        <tr r="C79" s="1"/>
      </tp>
      <tp t="s">
        <v/>
        <stp/>
        <stp>*H</stp>
        <stp>AUDCAD a0-fx</stp>
        <stp>High</stp>
        <stp>D</stp>
        <stp/>
        <stp>72</stp>
        <tr r="C76" s="1"/>
      </tp>
      <tp t="s">
        <v/>
        <stp/>
        <stp>*H</stp>
        <stp>AUDCAD a0-fx</stp>
        <stp>High</stp>
        <stp>D</stp>
        <stp/>
        <stp>73</stp>
        <tr r="C77" s="1"/>
      </tp>
      <tp t="s">
        <v/>
        <stp/>
        <stp>*H</stp>
        <stp>AUDCAD a0-fx</stp>
        <stp>High</stp>
        <stp>D</stp>
        <stp/>
        <stp>70</stp>
        <tr r="C74" s="1"/>
      </tp>
      <tp t="s">
        <v/>
        <stp/>
        <stp>*H</stp>
        <stp>AUDCAD a0-fx</stp>
        <stp>High</stp>
        <stp>D</stp>
        <stp/>
        <stp>71</stp>
        <tr r="C75" s="1"/>
      </tp>
      <tp t="s">
        <v/>
        <stp/>
        <stp>*H</stp>
        <stp>AUDCAD a0-fx</stp>
        <stp>High</stp>
        <stp>D</stp>
        <stp/>
        <stp>78</stp>
        <tr r="C82" s="1"/>
      </tp>
      <tp t="s">
        <v/>
        <stp/>
        <stp>*H</stp>
        <stp>AUDCAD a0-fx</stp>
        <stp>High</stp>
        <stp>D</stp>
        <stp/>
        <stp>79</stp>
        <tr r="C83" s="1"/>
      </tp>
      <tp t="s">
        <v/>
        <stp/>
        <stp>*H</stp>
        <stp>AUDCAD a0-fx</stp>
        <stp>High</stp>
        <stp>D</stp>
        <stp/>
        <stp>46</stp>
        <tr r="C50" s="1"/>
      </tp>
      <tp t="s">
        <v/>
        <stp/>
        <stp>*H</stp>
        <stp>AUDCAD a0-fx</stp>
        <stp>High</stp>
        <stp>D</stp>
        <stp/>
        <stp>47</stp>
        <tr r="C51" s="1"/>
      </tp>
      <tp t="s">
        <v/>
        <stp/>
        <stp>*H</stp>
        <stp>AUDCAD a0-fx</stp>
        <stp>High</stp>
        <stp>D</stp>
        <stp/>
        <stp>44</stp>
        <tr r="C48" s="1"/>
      </tp>
      <tp t="s">
        <v/>
        <stp/>
        <stp>*H</stp>
        <stp>AUDCAD a0-fx</stp>
        <stp>High</stp>
        <stp>D</stp>
        <stp/>
        <stp>45</stp>
        <tr r="C49" s="1"/>
      </tp>
      <tp t="s">
        <v/>
        <stp/>
        <stp>*H</stp>
        <stp>AUDCAD a0-fx</stp>
        <stp>High</stp>
        <stp>D</stp>
        <stp/>
        <stp>42</stp>
        <tr r="C46" s="1"/>
      </tp>
      <tp t="s">
        <v/>
        <stp/>
        <stp>*H</stp>
        <stp>AUDCAD a0-fx</stp>
        <stp>High</stp>
        <stp>D</stp>
        <stp/>
        <stp>43</stp>
        <tr r="C47" s="1"/>
      </tp>
      <tp t="s">
        <v/>
        <stp/>
        <stp>*H</stp>
        <stp>AUDCAD a0-fx</stp>
        <stp>High</stp>
        <stp>D</stp>
        <stp/>
        <stp>40</stp>
        <tr r="C44" s="1"/>
      </tp>
      <tp t="s">
        <v/>
        <stp/>
        <stp>*H</stp>
        <stp>AUDCAD a0-fx</stp>
        <stp>High</stp>
        <stp>D</stp>
        <stp/>
        <stp>41</stp>
        <tr r="C45" s="1"/>
      </tp>
      <tp t="s">
        <v/>
        <stp/>
        <stp>*H</stp>
        <stp>AUDCAD a0-fx</stp>
        <stp>High</stp>
        <stp>D</stp>
        <stp/>
        <stp>48</stp>
        <tr r="C52" s="1"/>
      </tp>
      <tp t="s">
        <v/>
        <stp/>
        <stp>*H</stp>
        <stp>AUDCAD a0-fx</stp>
        <stp>High</stp>
        <stp>D</stp>
        <stp/>
        <stp>49</stp>
        <tr r="C53" s="1"/>
      </tp>
      <tp t="s">
        <v/>
        <stp/>
        <stp>*H</stp>
        <stp>AUDCAD a0-fx</stp>
        <stp>High</stp>
        <stp>D</stp>
        <stp/>
        <stp>56</stp>
        <tr r="C60" s="1"/>
      </tp>
      <tp t="s">
        <v/>
        <stp/>
        <stp>*H</stp>
        <stp>AUDCAD a0-fx</stp>
        <stp>High</stp>
        <stp>D</stp>
        <stp/>
        <stp>57</stp>
        <tr r="C61" s="1"/>
      </tp>
      <tp t="s">
        <v/>
        <stp/>
        <stp>*H</stp>
        <stp>AUDCAD a0-fx</stp>
        <stp>High</stp>
        <stp>D</stp>
        <stp/>
        <stp>54</stp>
        <tr r="C58" s="1"/>
      </tp>
      <tp t="s">
        <v/>
        <stp/>
        <stp>*H</stp>
        <stp>AUDCAD a0-fx</stp>
        <stp>High</stp>
        <stp>D</stp>
        <stp/>
        <stp>55</stp>
        <tr r="C59" s="1"/>
      </tp>
      <tp t="s">
        <v/>
        <stp/>
        <stp>*H</stp>
        <stp>AUDCAD a0-fx</stp>
        <stp>High</stp>
        <stp>D</stp>
        <stp/>
        <stp>52</stp>
        <tr r="C56" s="1"/>
      </tp>
      <tp t="s">
        <v/>
        <stp/>
        <stp>*H</stp>
        <stp>AUDCAD a0-fx</stp>
        <stp>High</stp>
        <stp>D</stp>
        <stp/>
        <stp>53</stp>
        <tr r="C57" s="1"/>
      </tp>
      <tp t="s">
        <v/>
        <stp/>
        <stp>*H</stp>
        <stp>AUDCAD a0-fx</stp>
        <stp>High</stp>
        <stp>D</stp>
        <stp/>
        <stp>50</stp>
        <tr r="C54" s="1"/>
      </tp>
      <tp t="s">
        <v/>
        <stp/>
        <stp>*H</stp>
        <stp>AUDCAD a0-fx</stp>
        <stp>High</stp>
        <stp>D</stp>
        <stp/>
        <stp>51</stp>
        <tr r="C55" s="1"/>
      </tp>
      <tp t="s">
        <v/>
        <stp/>
        <stp>*H</stp>
        <stp>AUDCAD a0-fx</stp>
        <stp>High</stp>
        <stp>D</stp>
        <stp/>
        <stp>58</stp>
        <tr r="C62" s="1"/>
      </tp>
      <tp t="s">
        <v/>
        <stp/>
        <stp>*H</stp>
        <stp>AUDCAD a0-fx</stp>
        <stp>High</stp>
        <stp>D</stp>
        <stp/>
        <stp>59</stp>
        <tr r="C63" s="1"/>
      </tp>
      <tp t="s">
        <v/>
        <stp/>
        <stp>*H</stp>
        <stp>AUDCAD a0-fx</stp>
        <stp>High</stp>
        <stp>D</stp>
        <stp/>
        <stp>26</stp>
        <tr r="C30" s="1"/>
      </tp>
      <tp t="s">
        <v/>
        <stp/>
        <stp>*H</stp>
        <stp>AUDCAD a0-fx</stp>
        <stp>High</stp>
        <stp>D</stp>
        <stp/>
        <stp>27</stp>
        <tr r="C31" s="1"/>
      </tp>
      <tp t="s">
        <v/>
        <stp/>
        <stp>*H</stp>
        <stp>AUDCAD a0-fx</stp>
        <stp>High</stp>
        <stp>D</stp>
        <stp/>
        <stp>24</stp>
        <tr r="C28" s="1"/>
      </tp>
      <tp t="s">
        <v/>
        <stp/>
        <stp>*H</stp>
        <stp>AUDCAD a0-fx</stp>
        <stp>High</stp>
        <stp>D</stp>
        <stp/>
        <stp>25</stp>
        <tr r="C29" s="1"/>
      </tp>
      <tp t="s">
        <v/>
        <stp/>
        <stp>*H</stp>
        <stp>AUDCAD a0-fx</stp>
        <stp>High</stp>
        <stp>D</stp>
        <stp/>
        <stp>22</stp>
        <tr r="C26" s="1"/>
      </tp>
      <tp t="s">
        <v/>
        <stp/>
        <stp>*H</stp>
        <stp>AUDCAD a0-fx</stp>
        <stp>High</stp>
        <stp>D</stp>
        <stp/>
        <stp>23</stp>
        <tr r="C27" s="1"/>
      </tp>
      <tp t="s">
        <v/>
        <stp/>
        <stp>*H</stp>
        <stp>AUDCAD a0-fx</stp>
        <stp>High</stp>
        <stp>D</stp>
        <stp/>
        <stp>20</stp>
        <tr r="C24" s="1"/>
      </tp>
      <tp t="s">
        <v/>
        <stp/>
        <stp>*H</stp>
        <stp>AUDCAD a0-fx</stp>
        <stp>High</stp>
        <stp>D</stp>
        <stp/>
        <stp>21</stp>
        <tr r="C25" s="1"/>
      </tp>
      <tp t="s">
        <v/>
        <stp/>
        <stp>*H</stp>
        <stp>AUDCAD a0-fx</stp>
        <stp>High</stp>
        <stp>D</stp>
        <stp/>
        <stp>28</stp>
        <tr r="C32" s="1"/>
      </tp>
      <tp t="s">
        <v/>
        <stp/>
        <stp>*H</stp>
        <stp>AUDCAD a0-fx</stp>
        <stp>High</stp>
        <stp>D</stp>
        <stp/>
        <stp>29</stp>
        <tr r="C33" s="1"/>
      </tp>
      <tp t="s">
        <v/>
        <stp/>
        <stp>*H</stp>
        <stp>AUDCAD a0-fx</stp>
        <stp>High</stp>
        <stp>D</stp>
        <stp/>
        <stp>36</stp>
        <tr r="C40" s="1"/>
      </tp>
      <tp t="s">
        <v/>
        <stp/>
        <stp>*H</stp>
        <stp>AUDCAD a0-fx</stp>
        <stp>High</stp>
        <stp>D</stp>
        <stp/>
        <stp>37</stp>
        <tr r="C41" s="1"/>
      </tp>
      <tp t="s">
        <v/>
        <stp/>
        <stp>*H</stp>
        <stp>AUDCAD a0-fx</stp>
        <stp>High</stp>
        <stp>D</stp>
        <stp/>
        <stp>34</stp>
        <tr r="C38" s="1"/>
      </tp>
      <tp t="s">
        <v/>
        <stp/>
        <stp>*H</stp>
        <stp>AUDCAD a0-fx</stp>
        <stp>High</stp>
        <stp>D</stp>
        <stp/>
        <stp>35</stp>
        <tr r="C39" s="1"/>
      </tp>
      <tp t="s">
        <v/>
        <stp/>
        <stp>*H</stp>
        <stp>AUDCAD a0-fx</stp>
        <stp>High</stp>
        <stp>D</stp>
        <stp/>
        <stp>32</stp>
        <tr r="C36" s="1"/>
      </tp>
      <tp t="s">
        <v/>
        <stp/>
        <stp>*H</stp>
        <stp>AUDCAD a0-fx</stp>
        <stp>High</stp>
        <stp>D</stp>
        <stp/>
        <stp>33</stp>
        <tr r="C37" s="1"/>
      </tp>
      <tp t="s">
        <v/>
        <stp/>
        <stp>*H</stp>
        <stp>AUDCAD a0-fx</stp>
        <stp>High</stp>
        <stp>D</stp>
        <stp/>
        <stp>30</stp>
        <tr r="C34" s="1"/>
      </tp>
      <tp t="s">
        <v/>
        <stp/>
        <stp>*H</stp>
        <stp>AUDCAD a0-fx</stp>
        <stp>High</stp>
        <stp>D</stp>
        <stp/>
        <stp>31</stp>
        <tr r="C35" s="1"/>
      </tp>
      <tp t="s">
        <v/>
        <stp/>
        <stp>*H</stp>
        <stp>AUDCAD a0-fx</stp>
        <stp>High</stp>
        <stp>D</stp>
        <stp/>
        <stp>38</stp>
        <tr r="C42" s="1"/>
      </tp>
      <tp t="s">
        <v/>
        <stp/>
        <stp>*H</stp>
        <stp>AUDCAD a0-fx</stp>
        <stp>High</stp>
        <stp>D</stp>
        <stp/>
        <stp>39</stp>
        <tr r="C43" s="1"/>
      </tp>
      <tp t="s">
        <v/>
        <stp/>
        <stp>*H</stp>
        <stp>AUDCAD a0-fx</stp>
        <stp>High</stp>
        <stp>D</stp>
        <stp/>
        <stp>16</stp>
        <tr r="C20" s="1"/>
      </tp>
      <tp t="s">
        <v/>
        <stp/>
        <stp>*H</stp>
        <stp>AUDCAD a0-fx</stp>
        <stp>High</stp>
        <stp>D</stp>
        <stp/>
        <stp>17</stp>
        <tr r="C21" s="1"/>
      </tp>
      <tp t="s">
        <v/>
        <stp/>
        <stp>*H</stp>
        <stp>AUDCAD a0-fx</stp>
        <stp>High</stp>
        <stp>D</stp>
        <stp/>
        <stp>14</stp>
        <tr r="C18" s="1"/>
      </tp>
      <tp t="s">
        <v/>
        <stp/>
        <stp>*H</stp>
        <stp>AUDCAD a0-fx</stp>
        <stp>High</stp>
        <stp>D</stp>
        <stp/>
        <stp>15</stp>
        <tr r="C19" s="1"/>
      </tp>
      <tp t="s">
        <v/>
        <stp/>
        <stp>*H</stp>
        <stp>AUDCAD a0-fx</stp>
        <stp>High</stp>
        <stp>D</stp>
        <stp/>
        <stp>12</stp>
        <tr r="C16" s="1"/>
      </tp>
      <tp t="s">
        <v/>
        <stp/>
        <stp>*H</stp>
        <stp>AUDCAD a0-fx</stp>
        <stp>High</stp>
        <stp>D</stp>
        <stp/>
        <stp>13</stp>
        <tr r="C17" s="1"/>
      </tp>
      <tp t="s">
        <v/>
        <stp/>
        <stp>*H</stp>
        <stp>AUDCAD a0-fx</stp>
        <stp>High</stp>
        <stp>D</stp>
        <stp/>
        <stp>10</stp>
        <tr r="C14" s="1"/>
      </tp>
      <tp t="s">
        <v/>
        <stp/>
        <stp>*H</stp>
        <stp>AUDCAD a0-fx</stp>
        <stp>High</stp>
        <stp>D</stp>
        <stp/>
        <stp>11</stp>
        <tr r="C15" s="1"/>
      </tp>
      <tp t="s">
        <v/>
        <stp/>
        <stp>*H</stp>
        <stp>AUDCAD a0-fx</stp>
        <stp>High</stp>
        <stp>D</stp>
        <stp/>
        <stp>18</stp>
        <tr r="C22" s="1"/>
      </tp>
      <tp t="s">
        <v/>
        <stp/>
        <stp>*H</stp>
        <stp>AUDCAD a0-fx</stp>
        <stp>High</stp>
        <stp>D</stp>
        <stp/>
        <stp>19</stp>
        <tr r="C23" s="1"/>
      </tp>
      <tp t="s">
        <v/>
        <stp/>
        <stp>*H</stp>
        <stp>AUDCAD a0-fx</stp>
        <stp>BarTime</stp>
        <stp>D</stp>
        <stp/>
        <stp>28</stp>
        <tr r="A32" s="1"/>
      </tp>
      <tp t="s">
        <v/>
        <stp/>
        <stp>*H</stp>
        <stp>AUDCAD a0-fx</stp>
        <stp>BarTime</stp>
        <stp>D</stp>
        <stp/>
        <stp>29</stp>
        <tr r="A33" s="1"/>
      </tp>
      <tp t="s">
        <v/>
        <stp/>
        <stp>*H</stp>
        <stp>AUDCAD a0-fx</stp>
        <stp>BarTime</stp>
        <stp>D</stp>
        <stp/>
        <stp>20</stp>
        <tr r="A24" s="1"/>
      </tp>
      <tp t="s">
        <v/>
        <stp/>
        <stp>*H</stp>
        <stp>AUDCAD a0-fx</stp>
        <stp>BarTime</stp>
        <stp>D</stp>
        <stp/>
        <stp>21</stp>
        <tr r="A25" s="1"/>
      </tp>
      <tp t="s">
        <v/>
        <stp/>
        <stp>*H</stp>
        <stp>AUDCAD a0-fx</stp>
        <stp>BarTime</stp>
        <stp>D</stp>
        <stp/>
        <stp>22</stp>
        <tr r="A26" s="1"/>
      </tp>
      <tp t="s">
        <v/>
        <stp/>
        <stp>*H</stp>
        <stp>AUDCAD a0-fx</stp>
        <stp>BarTime</stp>
        <stp>D</stp>
        <stp/>
        <stp>23</stp>
        <tr r="A27" s="1"/>
      </tp>
      <tp t="s">
        <v/>
        <stp/>
        <stp>*H</stp>
        <stp>AUDCAD a0-fx</stp>
        <stp>BarTime</stp>
        <stp>D</stp>
        <stp/>
        <stp>24</stp>
        <tr r="A28" s="1"/>
      </tp>
      <tp t="s">
        <v/>
        <stp/>
        <stp>*H</stp>
        <stp>AUDCAD a0-fx</stp>
        <stp>BarTime</stp>
        <stp>D</stp>
        <stp/>
        <stp>25</stp>
        <tr r="A29" s="1"/>
      </tp>
      <tp t="s">
        <v/>
        <stp/>
        <stp>*H</stp>
        <stp>AUDCAD a0-fx</stp>
        <stp>BarTime</stp>
        <stp>D</stp>
        <stp/>
        <stp>26</stp>
        <tr r="A30" s="1"/>
      </tp>
      <tp t="s">
        <v/>
        <stp/>
        <stp>*H</stp>
        <stp>AUDCAD a0-fx</stp>
        <stp>BarTime</stp>
        <stp>D</stp>
        <stp/>
        <stp>27</stp>
        <tr r="A31" s="1"/>
      </tp>
      <tp t="s">
        <v/>
        <stp/>
        <stp>*H</stp>
        <stp>AUDCAD a0-fx</stp>
        <stp>BarTime</stp>
        <stp>D</stp>
        <stp/>
        <stp>38</stp>
        <tr r="A42" s="1"/>
      </tp>
      <tp t="s">
        <v/>
        <stp/>
        <stp>*H</stp>
        <stp>AUDCAD a0-fx</stp>
        <stp>BarTime</stp>
        <stp>D</stp>
        <stp/>
        <stp>39</stp>
        <tr r="A43" s="1"/>
      </tp>
      <tp t="s">
        <v/>
        <stp/>
        <stp>*H</stp>
        <stp>AUDCAD a0-fx</stp>
        <stp>BarTime</stp>
        <stp>D</stp>
        <stp/>
        <stp>30</stp>
        <tr r="A34" s="1"/>
      </tp>
      <tp t="s">
        <v/>
        <stp/>
        <stp>*H</stp>
        <stp>AUDCAD a0-fx</stp>
        <stp>BarTime</stp>
        <stp>D</stp>
        <stp/>
        <stp>31</stp>
        <tr r="A35" s="1"/>
      </tp>
      <tp t="s">
        <v/>
        <stp/>
        <stp>*H</stp>
        <stp>AUDCAD a0-fx</stp>
        <stp>BarTime</stp>
        <stp>D</stp>
        <stp/>
        <stp>32</stp>
        <tr r="A36" s="1"/>
      </tp>
      <tp t="s">
        <v/>
        <stp/>
        <stp>*H</stp>
        <stp>AUDCAD a0-fx</stp>
        <stp>BarTime</stp>
        <stp>D</stp>
        <stp/>
        <stp>33</stp>
        <tr r="A37" s="1"/>
      </tp>
      <tp t="s">
        <v/>
        <stp/>
        <stp>*H</stp>
        <stp>AUDCAD a0-fx</stp>
        <stp>BarTime</stp>
        <stp>D</stp>
        <stp/>
        <stp>34</stp>
        <tr r="A38" s="1"/>
      </tp>
      <tp t="s">
        <v/>
        <stp/>
        <stp>*H</stp>
        <stp>AUDCAD a0-fx</stp>
        <stp>BarTime</stp>
        <stp>D</stp>
        <stp/>
        <stp>35</stp>
        <tr r="A39" s="1"/>
      </tp>
      <tp t="s">
        <v/>
        <stp/>
        <stp>*H</stp>
        <stp>AUDCAD a0-fx</stp>
        <stp>BarTime</stp>
        <stp>D</stp>
        <stp/>
        <stp>36</stp>
        <tr r="A40" s="1"/>
      </tp>
      <tp t="s">
        <v/>
        <stp/>
        <stp>*H</stp>
        <stp>AUDCAD a0-fx</stp>
        <stp>BarTime</stp>
        <stp>D</stp>
        <stp/>
        <stp>37</stp>
        <tr r="A41" s="1"/>
      </tp>
      <tp t="s">
        <v/>
        <stp/>
        <stp>*H</stp>
        <stp>AUDCAD a0-fx</stp>
        <stp>BarTime</stp>
        <stp>D</stp>
        <stp/>
        <stp>18</stp>
        <tr r="A22" s="1"/>
      </tp>
      <tp t="s">
        <v/>
        <stp/>
        <stp>*H</stp>
        <stp>AUDCAD a0-fx</stp>
        <stp>BarTime</stp>
        <stp>D</stp>
        <stp/>
        <stp>19</stp>
        <tr r="A23" s="1"/>
      </tp>
      <tp t="s">
        <v/>
        <stp/>
        <stp>*H</stp>
        <stp>AUDCAD a0-fx</stp>
        <stp>BarTime</stp>
        <stp>D</stp>
        <stp/>
        <stp>10</stp>
        <tr r="A14" s="1"/>
      </tp>
      <tp t="s">
        <v/>
        <stp/>
        <stp>*H</stp>
        <stp>AUDCAD a0-fx</stp>
        <stp>BarTime</stp>
        <stp>D</stp>
        <stp/>
        <stp>11</stp>
        <tr r="A15" s="1"/>
      </tp>
      <tp t="s">
        <v/>
        <stp/>
        <stp>*H</stp>
        <stp>AUDCAD a0-fx</stp>
        <stp>BarTime</stp>
        <stp>D</stp>
        <stp/>
        <stp>12</stp>
        <tr r="A16" s="1"/>
      </tp>
      <tp t="s">
        <v/>
        <stp/>
        <stp>*H</stp>
        <stp>AUDCAD a0-fx</stp>
        <stp>BarTime</stp>
        <stp>D</stp>
        <stp/>
        <stp>13</stp>
        <tr r="A17" s="1"/>
      </tp>
      <tp t="s">
        <v/>
        <stp/>
        <stp>*H</stp>
        <stp>AUDCAD a0-fx</stp>
        <stp>BarTime</stp>
        <stp>D</stp>
        <stp/>
        <stp>14</stp>
        <tr r="A18" s="1"/>
      </tp>
      <tp t="s">
        <v/>
        <stp/>
        <stp>*H</stp>
        <stp>AUDCAD a0-fx</stp>
        <stp>BarTime</stp>
        <stp>D</stp>
        <stp/>
        <stp>15</stp>
        <tr r="A19" s="1"/>
      </tp>
      <tp t="s">
        <v/>
        <stp/>
        <stp>*H</stp>
        <stp>AUDCAD a0-fx</stp>
        <stp>BarTime</stp>
        <stp>D</stp>
        <stp/>
        <stp>16</stp>
        <tr r="A20" s="1"/>
      </tp>
      <tp t="s">
        <v/>
        <stp/>
        <stp>*H</stp>
        <stp>AUDCAD a0-fx</stp>
        <stp>BarTime</stp>
        <stp>D</stp>
        <stp/>
        <stp>17</stp>
        <tr r="A21" s="1"/>
      </tp>
      <tp t="s">
        <v/>
        <stp/>
        <stp>*H</stp>
        <stp>AUDCAD a0-fx</stp>
        <stp>BarTime</stp>
        <stp>D</stp>
        <stp/>
        <stp>68</stp>
        <tr r="A72" s="1"/>
      </tp>
      <tp t="s">
        <v/>
        <stp/>
        <stp>*H</stp>
        <stp>AUDCAD a0-fx</stp>
        <stp>BarTime</stp>
        <stp>D</stp>
        <stp/>
        <stp>69</stp>
        <tr r="A73" s="1"/>
      </tp>
      <tp t="s">
        <v/>
        <stp/>
        <stp>*H</stp>
        <stp>AUDCAD a0-fx</stp>
        <stp>BarTime</stp>
        <stp>D</stp>
        <stp/>
        <stp>60</stp>
        <tr r="A64" s="1"/>
      </tp>
      <tp t="s">
        <v/>
        <stp/>
        <stp>*H</stp>
        <stp>AUDCAD a0-fx</stp>
        <stp>BarTime</stp>
        <stp>D</stp>
        <stp/>
        <stp>61</stp>
        <tr r="A65" s="1"/>
      </tp>
      <tp t="s">
        <v/>
        <stp/>
        <stp>*H</stp>
        <stp>AUDCAD a0-fx</stp>
        <stp>BarTime</stp>
        <stp>D</stp>
        <stp/>
        <stp>62</stp>
        <tr r="A66" s="1"/>
      </tp>
      <tp t="s">
        <v/>
        <stp/>
        <stp>*H</stp>
        <stp>AUDCAD a0-fx</stp>
        <stp>BarTime</stp>
        <stp>D</stp>
        <stp/>
        <stp>63</stp>
        <tr r="A67" s="1"/>
      </tp>
      <tp t="s">
        <v/>
        <stp/>
        <stp>*H</stp>
        <stp>AUDCAD a0-fx</stp>
        <stp>BarTime</stp>
        <stp>D</stp>
        <stp/>
        <stp>64</stp>
        <tr r="A68" s="1"/>
      </tp>
      <tp t="s">
        <v/>
        <stp/>
        <stp>*H</stp>
        <stp>AUDCAD a0-fx</stp>
        <stp>BarTime</stp>
        <stp>D</stp>
        <stp/>
        <stp>65</stp>
        <tr r="A69" s="1"/>
      </tp>
      <tp t="s">
        <v/>
        <stp/>
        <stp>*H</stp>
        <stp>AUDCAD a0-fx</stp>
        <stp>BarTime</stp>
        <stp>D</stp>
        <stp/>
        <stp>66</stp>
        <tr r="A70" s="1"/>
      </tp>
      <tp t="s">
        <v/>
        <stp/>
        <stp>*H</stp>
        <stp>AUDCAD a0-fx</stp>
        <stp>BarTime</stp>
        <stp>D</stp>
        <stp/>
        <stp>67</stp>
        <tr r="A71" s="1"/>
      </tp>
      <tp t="s">
        <v/>
        <stp/>
        <stp>*H</stp>
        <stp>AUDCAD a0-fx</stp>
        <stp>BarTime</stp>
        <stp>D</stp>
        <stp/>
        <stp>78</stp>
        <tr r="A82" s="1"/>
      </tp>
      <tp t="s">
        <v/>
        <stp/>
        <stp>*H</stp>
        <stp>AUDCAD a0-fx</stp>
        <stp>BarTime</stp>
        <stp>D</stp>
        <stp/>
        <stp>79</stp>
        <tr r="A83" s="1"/>
      </tp>
      <tp t="s">
        <v/>
        <stp/>
        <stp>*H</stp>
        <stp>AUDCAD a0-fx</stp>
        <stp>BarTime</stp>
        <stp>D</stp>
        <stp/>
        <stp>70</stp>
        <tr r="A74" s="1"/>
      </tp>
      <tp t="s">
        <v/>
        <stp/>
        <stp>*H</stp>
        <stp>AUDCAD a0-fx</stp>
        <stp>BarTime</stp>
        <stp>D</stp>
        <stp/>
        <stp>71</stp>
        <tr r="A75" s="1"/>
      </tp>
      <tp t="s">
        <v/>
        <stp/>
        <stp>*H</stp>
        <stp>AUDCAD a0-fx</stp>
        <stp>BarTime</stp>
        <stp>D</stp>
        <stp/>
        <stp>72</stp>
        <tr r="A76" s="1"/>
      </tp>
      <tp t="s">
        <v/>
        <stp/>
        <stp>*H</stp>
        <stp>AUDCAD a0-fx</stp>
        <stp>BarTime</stp>
        <stp>D</stp>
        <stp/>
        <stp>73</stp>
        <tr r="A77" s="1"/>
      </tp>
      <tp t="s">
        <v/>
        <stp/>
        <stp>*H</stp>
        <stp>AUDCAD a0-fx</stp>
        <stp>BarTime</stp>
        <stp>D</stp>
        <stp/>
        <stp>74</stp>
        <tr r="A78" s="1"/>
      </tp>
      <tp t="s">
        <v/>
        <stp/>
        <stp>*H</stp>
        <stp>AUDCAD a0-fx</stp>
        <stp>BarTime</stp>
        <stp>D</stp>
        <stp/>
        <stp>75</stp>
        <tr r="A79" s="1"/>
      </tp>
      <tp t="s">
        <v/>
        <stp/>
        <stp>*H</stp>
        <stp>AUDCAD a0-fx</stp>
        <stp>BarTime</stp>
        <stp>D</stp>
        <stp/>
        <stp>76</stp>
        <tr r="A80" s="1"/>
      </tp>
      <tp t="s">
        <v/>
        <stp/>
        <stp>*H</stp>
        <stp>AUDCAD a0-fx</stp>
        <stp>BarTime</stp>
        <stp>D</stp>
        <stp/>
        <stp>77</stp>
        <tr r="A81" s="1"/>
      </tp>
      <tp t="s">
        <v/>
        <stp/>
        <stp>*H</stp>
        <stp>AUDCAD a0-fx</stp>
        <stp>BarTime</stp>
        <stp>D</stp>
        <stp/>
        <stp>48</stp>
        <tr r="A52" s="1"/>
      </tp>
      <tp t="s">
        <v/>
        <stp/>
        <stp>*H</stp>
        <stp>AUDCAD a0-fx</stp>
        <stp>BarTime</stp>
        <stp>D</stp>
        <stp/>
        <stp>49</stp>
        <tr r="A53" s="1"/>
      </tp>
      <tp t="s">
        <v/>
        <stp/>
        <stp>*H</stp>
        <stp>AUDCAD a0-fx</stp>
        <stp>BarTime</stp>
        <stp>D</stp>
        <stp/>
        <stp>40</stp>
        <tr r="A44" s="1"/>
      </tp>
      <tp t="s">
        <v/>
        <stp/>
        <stp>*H</stp>
        <stp>AUDCAD a0-fx</stp>
        <stp>BarTime</stp>
        <stp>D</stp>
        <stp/>
        <stp>41</stp>
        <tr r="A45" s="1"/>
      </tp>
      <tp t="s">
        <v/>
        <stp/>
        <stp>*H</stp>
        <stp>AUDCAD a0-fx</stp>
        <stp>BarTime</stp>
        <stp>D</stp>
        <stp/>
        <stp>42</stp>
        <tr r="A46" s="1"/>
      </tp>
      <tp t="s">
        <v/>
        <stp/>
        <stp>*H</stp>
        <stp>AUDCAD a0-fx</stp>
        <stp>BarTime</stp>
        <stp>D</stp>
        <stp/>
        <stp>43</stp>
        <tr r="A47" s="1"/>
      </tp>
      <tp t="s">
        <v/>
        <stp/>
        <stp>*H</stp>
        <stp>AUDCAD a0-fx</stp>
        <stp>BarTime</stp>
        <stp>D</stp>
        <stp/>
        <stp>44</stp>
        <tr r="A48" s="1"/>
      </tp>
      <tp t="s">
        <v/>
        <stp/>
        <stp>*H</stp>
        <stp>AUDCAD a0-fx</stp>
        <stp>BarTime</stp>
        <stp>D</stp>
        <stp/>
        <stp>45</stp>
        <tr r="A49" s="1"/>
      </tp>
      <tp t="s">
        <v/>
        <stp/>
        <stp>*H</stp>
        <stp>AUDCAD a0-fx</stp>
        <stp>BarTime</stp>
        <stp>D</stp>
        <stp/>
        <stp>46</stp>
        <tr r="A50" s="1"/>
      </tp>
      <tp t="s">
        <v/>
        <stp/>
        <stp>*H</stp>
        <stp>AUDCAD a0-fx</stp>
        <stp>BarTime</stp>
        <stp>D</stp>
        <stp/>
        <stp>47</stp>
        <tr r="A51" s="1"/>
      </tp>
      <tp t="s">
        <v/>
        <stp/>
        <stp>*H</stp>
        <stp>AUDCAD a0-fx</stp>
        <stp>BarTime</stp>
        <stp>D</stp>
        <stp/>
        <stp>58</stp>
        <tr r="A62" s="1"/>
      </tp>
      <tp t="s">
        <v/>
        <stp/>
        <stp>*H</stp>
        <stp>AUDCAD a0-fx</stp>
        <stp>BarTime</stp>
        <stp>D</stp>
        <stp/>
        <stp>59</stp>
        <tr r="A63" s="1"/>
      </tp>
      <tp t="s">
        <v/>
        <stp/>
        <stp>*H</stp>
        <stp>AUDCAD a0-fx</stp>
        <stp>BarTime</stp>
        <stp>D</stp>
        <stp/>
        <stp>50</stp>
        <tr r="A54" s="1"/>
      </tp>
      <tp t="s">
        <v/>
        <stp/>
        <stp>*H</stp>
        <stp>AUDCAD a0-fx</stp>
        <stp>BarTime</stp>
        <stp>D</stp>
        <stp/>
        <stp>51</stp>
        <tr r="A55" s="1"/>
      </tp>
      <tp t="s">
        <v/>
        <stp/>
        <stp>*H</stp>
        <stp>AUDCAD a0-fx</stp>
        <stp>BarTime</stp>
        <stp>D</stp>
        <stp/>
        <stp>52</stp>
        <tr r="A56" s="1"/>
      </tp>
      <tp t="s">
        <v/>
        <stp/>
        <stp>*H</stp>
        <stp>AUDCAD a0-fx</stp>
        <stp>BarTime</stp>
        <stp>D</stp>
        <stp/>
        <stp>53</stp>
        <tr r="A57" s="1"/>
      </tp>
      <tp t="s">
        <v/>
        <stp/>
        <stp>*H</stp>
        <stp>AUDCAD a0-fx</stp>
        <stp>BarTime</stp>
        <stp>D</stp>
        <stp/>
        <stp>54</stp>
        <tr r="A58" s="1"/>
      </tp>
      <tp t="s">
        <v/>
        <stp/>
        <stp>*H</stp>
        <stp>AUDCAD a0-fx</stp>
        <stp>BarTime</stp>
        <stp>D</stp>
        <stp/>
        <stp>55</stp>
        <tr r="A59" s="1"/>
      </tp>
      <tp t="s">
        <v/>
        <stp/>
        <stp>*H</stp>
        <stp>AUDCAD a0-fx</stp>
        <stp>BarTime</stp>
        <stp>D</stp>
        <stp/>
        <stp>56</stp>
        <tr r="A60" s="1"/>
      </tp>
      <tp t="s">
        <v/>
        <stp/>
        <stp>*H</stp>
        <stp>AUDCAD a0-fx</stp>
        <stp>BarTime</stp>
        <stp>D</stp>
        <stp/>
        <stp>57</stp>
        <tr r="A61" s="1"/>
      </tp>
      <tp t="s">
        <v/>
        <stp/>
        <stp>*H</stp>
        <stp>AUDCAD a0-fx</stp>
        <stp>BarTime</stp>
        <stp>D</stp>
        <stp/>
        <stp>88</stp>
        <tr r="A92" s="1"/>
      </tp>
      <tp t="s">
        <v/>
        <stp/>
        <stp>*H</stp>
        <stp>AUDCAD a0-fx</stp>
        <stp>BarTime</stp>
        <stp>D</stp>
        <stp/>
        <stp>89</stp>
        <tr r="A93" s="1"/>
      </tp>
      <tp t="s">
        <v/>
        <stp/>
        <stp>*H</stp>
        <stp>AUDCAD a0-fx</stp>
        <stp>BarTime</stp>
        <stp>D</stp>
        <stp/>
        <stp>80</stp>
        <tr r="A84" s="1"/>
      </tp>
      <tp t="s">
        <v/>
        <stp/>
        <stp>*H</stp>
        <stp>AUDCAD a0-fx</stp>
        <stp>BarTime</stp>
        <stp>D</stp>
        <stp/>
        <stp>81</stp>
        <tr r="A85" s="1"/>
      </tp>
      <tp t="s">
        <v/>
        <stp/>
        <stp>*H</stp>
        <stp>AUDCAD a0-fx</stp>
        <stp>BarTime</stp>
        <stp>D</stp>
        <stp/>
        <stp>82</stp>
        <tr r="A86" s="1"/>
      </tp>
      <tp t="s">
        <v/>
        <stp/>
        <stp>*H</stp>
        <stp>AUDCAD a0-fx</stp>
        <stp>BarTime</stp>
        <stp>D</stp>
        <stp/>
        <stp>83</stp>
        <tr r="A87" s="1"/>
      </tp>
      <tp t="s">
        <v/>
        <stp/>
        <stp>*H</stp>
        <stp>AUDCAD a0-fx</stp>
        <stp>BarTime</stp>
        <stp>D</stp>
        <stp/>
        <stp>84</stp>
        <tr r="A88" s="1"/>
      </tp>
      <tp t="s">
        <v/>
        <stp/>
        <stp>*H</stp>
        <stp>AUDCAD a0-fx</stp>
        <stp>BarTime</stp>
        <stp>D</stp>
        <stp/>
        <stp>85</stp>
        <tr r="A89" s="1"/>
      </tp>
      <tp t="s">
        <v/>
        <stp/>
        <stp>*H</stp>
        <stp>AUDCAD a0-fx</stp>
        <stp>BarTime</stp>
        <stp>D</stp>
        <stp/>
        <stp>86</stp>
        <tr r="A90" s="1"/>
      </tp>
      <tp t="s">
        <v/>
        <stp/>
        <stp>*H</stp>
        <stp>AUDCAD a0-fx</stp>
        <stp>BarTime</stp>
        <stp>D</stp>
        <stp/>
        <stp>87</stp>
        <tr r="A91" s="1"/>
      </tp>
      <tp t="s">
        <v/>
        <stp/>
        <stp>*H</stp>
        <stp>AUDCAD a0-fx</stp>
        <stp>BarTime</stp>
        <stp>D</stp>
        <stp/>
        <stp>98</stp>
        <tr r="A102" s="1"/>
      </tp>
      <tp t="s">
        <v/>
        <stp/>
        <stp>*H</stp>
        <stp>AUDCAD a0-fx</stp>
        <stp>BarTime</stp>
        <stp>D</stp>
        <stp/>
        <stp>99</stp>
        <tr r="A103" s="1"/>
      </tp>
      <tp t="s">
        <v/>
        <stp/>
        <stp>*H</stp>
        <stp>AUDCAD a0-fx</stp>
        <stp>BarTime</stp>
        <stp>D</stp>
        <stp/>
        <stp>90</stp>
        <tr r="A94" s="1"/>
      </tp>
      <tp t="s">
        <v/>
        <stp/>
        <stp>*H</stp>
        <stp>AUDCAD a0-fx</stp>
        <stp>BarTime</stp>
        <stp>D</stp>
        <stp/>
        <stp>91</stp>
        <tr r="A95" s="1"/>
      </tp>
      <tp t="s">
        <v/>
        <stp/>
        <stp>*H</stp>
        <stp>AUDCAD a0-fx</stp>
        <stp>BarTime</stp>
        <stp>D</stp>
        <stp/>
        <stp>92</stp>
        <tr r="A96" s="1"/>
      </tp>
      <tp t="s">
        <v/>
        <stp/>
        <stp>*H</stp>
        <stp>AUDCAD a0-fx</stp>
        <stp>BarTime</stp>
        <stp>D</stp>
        <stp/>
        <stp>93</stp>
        <tr r="A97" s="1"/>
      </tp>
      <tp t="s">
        <v/>
        <stp/>
        <stp>*H</stp>
        <stp>AUDCAD a0-fx</stp>
        <stp>BarTime</stp>
        <stp>D</stp>
        <stp/>
        <stp>94</stp>
        <tr r="A98" s="1"/>
      </tp>
      <tp t="s">
        <v/>
        <stp/>
        <stp>*H</stp>
        <stp>AUDCAD a0-fx</stp>
        <stp>BarTime</stp>
        <stp>D</stp>
        <stp/>
        <stp>95</stp>
        <tr r="A99" s="1"/>
      </tp>
      <tp t="s">
        <v/>
        <stp/>
        <stp>*H</stp>
        <stp>AUDCAD a0-fx</stp>
        <stp>BarTime</stp>
        <stp>D</stp>
        <stp/>
        <stp>96</stp>
        <tr r="A100" s="1"/>
      </tp>
      <tp t="s">
        <v/>
        <stp/>
        <stp>*H</stp>
        <stp>AUDCAD a0-fx</stp>
        <stp>BarTime</stp>
        <stp>D</stp>
        <stp/>
        <stp>97</stp>
        <tr r="A101" s="1"/>
      </tp>
      <tp t="s">
        <v/>
        <stp/>
        <stp>*H</stp>
        <stp>AUDCAD a0-fx</stp>
        <stp>Last</stp>
        <stp>D</stp>
        <stp/>
        <stp>88</stp>
        <tr r="E92" s="1"/>
      </tp>
      <tp t="s">
        <v/>
        <stp/>
        <stp>*H</stp>
        <stp>AUDCAD a0-fx</stp>
        <stp>Last</stp>
        <stp>D</stp>
        <stp/>
        <stp>89</stp>
        <tr r="E93" s="1"/>
      </tp>
      <tp t="s">
        <v/>
        <stp/>
        <stp>*H</stp>
        <stp>AUDCAD a0-fx</stp>
        <stp>Last</stp>
        <stp>D</stp>
        <stp/>
        <stp>86</stp>
        <tr r="E90" s="1"/>
      </tp>
      <tp t="s">
        <v/>
        <stp/>
        <stp>*H</stp>
        <stp>AUDCAD a0-fx</stp>
        <stp>Last</stp>
        <stp>D</stp>
        <stp/>
        <stp>87</stp>
        <tr r="E91" s="1"/>
      </tp>
      <tp t="s">
        <v/>
        <stp/>
        <stp>*H</stp>
        <stp>AUDCAD a0-fx</stp>
        <stp>Last</stp>
        <stp>D</stp>
        <stp/>
        <stp>84</stp>
        <tr r="E88" s="1"/>
      </tp>
      <tp t="s">
        <v/>
        <stp/>
        <stp>*H</stp>
        <stp>AUDCAD a0-fx</stp>
        <stp>Last</stp>
        <stp>D</stp>
        <stp/>
        <stp>85</stp>
        <tr r="E89" s="1"/>
      </tp>
      <tp t="s">
        <v/>
        <stp/>
        <stp>*H</stp>
        <stp>AUDCAD a0-fx</stp>
        <stp>Last</stp>
        <stp>D</stp>
        <stp/>
        <stp>82</stp>
        <tr r="E86" s="1"/>
      </tp>
      <tp t="s">
        <v/>
        <stp/>
        <stp>*H</stp>
        <stp>AUDCAD a0-fx</stp>
        <stp>Last</stp>
        <stp>D</stp>
        <stp/>
        <stp>83</stp>
        <tr r="E87" s="1"/>
      </tp>
      <tp t="s">
        <v/>
        <stp/>
        <stp>*H</stp>
        <stp>AUDCAD a0-fx</stp>
        <stp>Last</stp>
        <stp>D</stp>
        <stp/>
        <stp>80</stp>
        <tr r="E84" s="1"/>
      </tp>
      <tp t="s">
        <v/>
        <stp/>
        <stp>*H</stp>
        <stp>AUDCAD a0-fx</stp>
        <stp>Last</stp>
        <stp>D</stp>
        <stp/>
        <stp>81</stp>
        <tr r="E85" s="1"/>
      </tp>
      <tp t="s">
        <v/>
        <stp/>
        <stp>*H</stp>
        <stp>AUDCAD a0-fx</stp>
        <stp>Last</stp>
        <stp>D</stp>
        <stp/>
        <stp>98</stp>
        <tr r="E102" s="1"/>
      </tp>
      <tp t="s">
        <v/>
        <stp/>
        <stp>*H</stp>
        <stp>AUDCAD a0-fx</stp>
        <stp>Last</stp>
        <stp>D</stp>
        <stp/>
        <stp>99</stp>
        <tr r="E103" s="1"/>
      </tp>
      <tp t="s">
        <v/>
        <stp/>
        <stp>*H</stp>
        <stp>AUDCAD a0-fx</stp>
        <stp>Last</stp>
        <stp>D</stp>
        <stp/>
        <stp>96</stp>
        <tr r="E100" s="1"/>
      </tp>
      <tp t="s">
        <v/>
        <stp/>
        <stp>*H</stp>
        <stp>AUDCAD a0-fx</stp>
        <stp>Last</stp>
        <stp>D</stp>
        <stp/>
        <stp>97</stp>
        <tr r="E101" s="1"/>
      </tp>
      <tp t="s">
        <v/>
        <stp/>
        <stp>*H</stp>
        <stp>AUDCAD a0-fx</stp>
        <stp>Last</stp>
        <stp>D</stp>
        <stp/>
        <stp>94</stp>
        <tr r="E98" s="1"/>
      </tp>
      <tp t="s">
        <v/>
        <stp/>
        <stp>*H</stp>
        <stp>AUDCAD a0-fx</stp>
        <stp>Last</stp>
        <stp>D</stp>
        <stp/>
        <stp>95</stp>
        <tr r="E99" s="1"/>
      </tp>
      <tp t="s">
        <v/>
        <stp/>
        <stp>*H</stp>
        <stp>AUDCAD a0-fx</stp>
        <stp>Last</stp>
        <stp>D</stp>
        <stp/>
        <stp>92</stp>
        <tr r="E96" s="1"/>
      </tp>
      <tp t="s">
        <v/>
        <stp/>
        <stp>*H</stp>
        <stp>AUDCAD a0-fx</stp>
        <stp>Last</stp>
        <stp>D</stp>
        <stp/>
        <stp>93</stp>
        <tr r="E97" s="1"/>
      </tp>
      <tp t="s">
        <v/>
        <stp/>
        <stp>*H</stp>
        <stp>AUDCAD a0-fx</stp>
        <stp>Last</stp>
        <stp>D</stp>
        <stp/>
        <stp>90</stp>
        <tr r="E94" s="1"/>
      </tp>
      <tp t="s">
        <v/>
        <stp/>
        <stp>*H</stp>
        <stp>AUDCAD a0-fx</stp>
        <stp>Last</stp>
        <stp>D</stp>
        <stp/>
        <stp>91</stp>
        <tr r="E95" s="1"/>
      </tp>
      <tp t="s">
        <v/>
        <stp/>
        <stp>*H</stp>
        <stp>AUDCAD a0-fx</stp>
        <stp>Last</stp>
        <stp>D</stp>
        <stp/>
        <stp>28</stp>
        <tr r="E32" s="1"/>
      </tp>
      <tp t="s">
        <v/>
        <stp/>
        <stp>*H</stp>
        <stp>AUDCAD a0-fx</stp>
        <stp>Last</stp>
        <stp>D</stp>
        <stp/>
        <stp>29</stp>
        <tr r="E33" s="1"/>
      </tp>
      <tp t="s">
        <v/>
        <stp/>
        <stp>*H</stp>
        <stp>AUDCAD a0-fx</stp>
        <stp>Last</stp>
        <stp>D</stp>
        <stp/>
        <stp>26</stp>
        <tr r="E30" s="1"/>
      </tp>
      <tp t="s">
        <v/>
        <stp/>
        <stp>*H</stp>
        <stp>AUDCAD a0-fx</stp>
        <stp>Last</stp>
        <stp>D</stp>
        <stp/>
        <stp>27</stp>
        <tr r="E31" s="1"/>
      </tp>
      <tp t="s">
        <v/>
        <stp/>
        <stp>*H</stp>
        <stp>AUDCAD a0-fx</stp>
        <stp>Last</stp>
        <stp>D</stp>
        <stp/>
        <stp>24</stp>
        <tr r="E28" s="1"/>
      </tp>
      <tp t="s">
        <v/>
        <stp/>
        <stp>*H</stp>
        <stp>AUDCAD a0-fx</stp>
        <stp>Last</stp>
        <stp>D</stp>
        <stp/>
        <stp>25</stp>
        <tr r="E29" s="1"/>
      </tp>
      <tp t="s">
        <v/>
        <stp/>
        <stp>*H</stp>
        <stp>AUDCAD a0-fx</stp>
        <stp>Last</stp>
        <stp>D</stp>
        <stp/>
        <stp>22</stp>
        <tr r="E26" s="1"/>
      </tp>
      <tp t="s">
        <v/>
        <stp/>
        <stp>*H</stp>
        <stp>AUDCAD a0-fx</stp>
        <stp>Last</stp>
        <stp>D</stp>
        <stp/>
        <stp>23</stp>
        <tr r="E27" s="1"/>
      </tp>
      <tp t="s">
        <v/>
        <stp/>
        <stp>*H</stp>
        <stp>AUDCAD a0-fx</stp>
        <stp>Last</stp>
        <stp>D</stp>
        <stp/>
        <stp>20</stp>
        <tr r="E24" s="1"/>
      </tp>
      <tp t="s">
        <v/>
        <stp/>
        <stp>*H</stp>
        <stp>AUDCAD a0-fx</stp>
        <stp>Last</stp>
        <stp>D</stp>
        <stp/>
        <stp>21</stp>
        <tr r="E25" s="1"/>
      </tp>
      <tp t="s">
        <v/>
        <stp/>
        <stp>*H</stp>
        <stp>AUDCAD a0-fx</stp>
        <stp>Last</stp>
        <stp>D</stp>
        <stp/>
        <stp>38</stp>
        <tr r="E42" s="1"/>
      </tp>
      <tp t="s">
        <v/>
        <stp/>
        <stp>*H</stp>
        <stp>AUDCAD a0-fx</stp>
        <stp>Last</stp>
        <stp>D</stp>
        <stp/>
        <stp>39</stp>
        <tr r="E43" s="1"/>
      </tp>
      <tp t="s">
        <v/>
        <stp/>
        <stp>*H</stp>
        <stp>AUDCAD a0-fx</stp>
        <stp>Last</stp>
        <stp>D</stp>
        <stp/>
        <stp>36</stp>
        <tr r="E40" s="1"/>
      </tp>
      <tp t="s">
        <v/>
        <stp/>
        <stp>*H</stp>
        <stp>AUDCAD a0-fx</stp>
        <stp>Last</stp>
        <stp>D</stp>
        <stp/>
        <stp>37</stp>
        <tr r="E41" s="1"/>
      </tp>
      <tp t="s">
        <v/>
        <stp/>
        <stp>*H</stp>
        <stp>AUDCAD a0-fx</stp>
        <stp>Last</stp>
        <stp>D</stp>
        <stp/>
        <stp>34</stp>
        <tr r="E38" s="1"/>
      </tp>
      <tp t="s">
        <v/>
        <stp/>
        <stp>*H</stp>
        <stp>AUDCAD a0-fx</stp>
        <stp>Last</stp>
        <stp>D</stp>
        <stp/>
        <stp>35</stp>
        <tr r="E39" s="1"/>
      </tp>
      <tp t="s">
        <v/>
        <stp/>
        <stp>*H</stp>
        <stp>AUDCAD a0-fx</stp>
        <stp>Last</stp>
        <stp>D</stp>
        <stp/>
        <stp>32</stp>
        <tr r="E36" s="1"/>
      </tp>
      <tp t="s">
        <v/>
        <stp/>
        <stp>*H</stp>
        <stp>AUDCAD a0-fx</stp>
        <stp>Last</stp>
        <stp>D</stp>
        <stp/>
        <stp>33</stp>
        <tr r="E37" s="1"/>
      </tp>
      <tp t="s">
        <v/>
        <stp/>
        <stp>*H</stp>
        <stp>AUDCAD a0-fx</stp>
        <stp>Last</stp>
        <stp>D</stp>
        <stp/>
        <stp>30</stp>
        <tr r="E34" s="1"/>
      </tp>
      <tp t="s">
        <v/>
        <stp/>
        <stp>*H</stp>
        <stp>AUDCAD a0-fx</stp>
        <stp>Last</stp>
        <stp>D</stp>
        <stp/>
        <stp>31</stp>
        <tr r="E35" s="1"/>
      </tp>
      <tp t="s">
        <v/>
        <stp/>
        <stp>*H</stp>
        <stp>AUDCAD a0-fx</stp>
        <stp>Last</stp>
        <stp>D</stp>
        <stp/>
        <stp>18</stp>
        <tr r="E22" s="1"/>
      </tp>
      <tp t="s">
        <v/>
        <stp/>
        <stp>*H</stp>
        <stp>AUDCAD a0-fx</stp>
        <stp>Last</stp>
        <stp>D</stp>
        <stp/>
        <stp>19</stp>
        <tr r="E23" s="1"/>
      </tp>
      <tp t="s">
        <v/>
        <stp/>
        <stp>*H</stp>
        <stp>AUDCAD a0-fx</stp>
        <stp>Last</stp>
        <stp>D</stp>
        <stp/>
        <stp>16</stp>
        <tr r="E20" s="1"/>
      </tp>
      <tp t="s">
        <v/>
        <stp/>
        <stp>*H</stp>
        <stp>AUDCAD a0-fx</stp>
        <stp>Last</stp>
        <stp>D</stp>
        <stp/>
        <stp>17</stp>
        <tr r="E21" s="1"/>
      </tp>
      <tp t="s">
        <v/>
        <stp/>
        <stp>*H</stp>
        <stp>AUDCAD a0-fx</stp>
        <stp>Last</stp>
        <stp>D</stp>
        <stp/>
        <stp>14</stp>
        <tr r="E18" s="1"/>
      </tp>
      <tp t="s">
        <v/>
        <stp/>
        <stp>*H</stp>
        <stp>AUDCAD a0-fx</stp>
        <stp>Last</stp>
        <stp>D</stp>
        <stp/>
        <stp>15</stp>
        <tr r="E19" s="1"/>
      </tp>
      <tp t="s">
        <v/>
        <stp/>
        <stp>*H</stp>
        <stp>AUDCAD a0-fx</stp>
        <stp>Last</stp>
        <stp>D</stp>
        <stp/>
        <stp>12</stp>
        <tr r="E16" s="1"/>
      </tp>
      <tp t="s">
        <v/>
        <stp/>
        <stp>*H</stp>
        <stp>AUDCAD a0-fx</stp>
        <stp>Last</stp>
        <stp>D</stp>
        <stp/>
        <stp>13</stp>
        <tr r="E17" s="1"/>
      </tp>
      <tp t="s">
        <v/>
        <stp/>
        <stp>*H</stp>
        <stp>AUDCAD a0-fx</stp>
        <stp>Last</stp>
        <stp>D</stp>
        <stp/>
        <stp>10</stp>
        <tr r="E14" s="1"/>
      </tp>
      <tp t="s">
        <v/>
        <stp/>
        <stp>*H</stp>
        <stp>AUDCAD a0-fx</stp>
        <stp>Last</stp>
        <stp>D</stp>
        <stp/>
        <stp>11</stp>
        <tr r="E15" s="1"/>
      </tp>
      <tp t="s">
        <v/>
        <stp/>
        <stp>*H</stp>
        <stp>AUDCAD a0-fx</stp>
        <stp>Last</stp>
        <stp>D</stp>
        <stp/>
        <stp>68</stp>
        <tr r="E72" s="1"/>
      </tp>
      <tp t="s">
        <v/>
        <stp/>
        <stp>*H</stp>
        <stp>AUDCAD a0-fx</stp>
        <stp>Last</stp>
        <stp>D</stp>
        <stp/>
        <stp>69</stp>
        <tr r="E73" s="1"/>
      </tp>
      <tp t="s">
        <v/>
        <stp/>
        <stp>*H</stp>
        <stp>AUDCAD a0-fx</stp>
        <stp>Last</stp>
        <stp>D</stp>
        <stp/>
        <stp>66</stp>
        <tr r="E70" s="1"/>
      </tp>
      <tp t="s">
        <v/>
        <stp/>
        <stp>*H</stp>
        <stp>AUDCAD a0-fx</stp>
        <stp>Last</stp>
        <stp>D</stp>
        <stp/>
        <stp>67</stp>
        <tr r="E71" s="1"/>
      </tp>
      <tp t="s">
        <v/>
        <stp/>
        <stp>*H</stp>
        <stp>AUDCAD a0-fx</stp>
        <stp>Last</stp>
        <stp>D</stp>
        <stp/>
        <stp>64</stp>
        <tr r="E68" s="1"/>
      </tp>
      <tp t="s">
        <v/>
        <stp/>
        <stp>*H</stp>
        <stp>AUDCAD a0-fx</stp>
        <stp>Last</stp>
        <stp>D</stp>
        <stp/>
        <stp>65</stp>
        <tr r="E69" s="1"/>
      </tp>
      <tp t="s">
        <v/>
        <stp/>
        <stp>*H</stp>
        <stp>AUDCAD a0-fx</stp>
        <stp>Last</stp>
        <stp>D</stp>
        <stp/>
        <stp>62</stp>
        <tr r="E66" s="1"/>
      </tp>
      <tp t="s">
        <v/>
        <stp/>
        <stp>*H</stp>
        <stp>AUDCAD a0-fx</stp>
        <stp>Last</stp>
        <stp>D</stp>
        <stp/>
        <stp>63</stp>
        <tr r="E67" s="1"/>
      </tp>
      <tp t="s">
        <v/>
        <stp/>
        <stp>*H</stp>
        <stp>AUDCAD a0-fx</stp>
        <stp>Last</stp>
        <stp>D</stp>
        <stp/>
        <stp>60</stp>
        <tr r="E64" s="1"/>
      </tp>
      <tp t="s">
        <v/>
        <stp/>
        <stp>*H</stp>
        <stp>AUDCAD a0-fx</stp>
        <stp>Last</stp>
        <stp>D</stp>
        <stp/>
        <stp>61</stp>
        <tr r="E65" s="1"/>
      </tp>
      <tp t="s">
        <v/>
        <stp/>
        <stp>*H</stp>
        <stp>AUDCAD a0-fx</stp>
        <stp>Last</stp>
        <stp>D</stp>
        <stp/>
        <stp>78</stp>
        <tr r="E82" s="1"/>
      </tp>
      <tp t="s">
        <v/>
        <stp/>
        <stp>*H</stp>
        <stp>AUDCAD a0-fx</stp>
        <stp>Last</stp>
        <stp>D</stp>
        <stp/>
        <stp>79</stp>
        <tr r="E83" s="1"/>
      </tp>
      <tp t="s">
        <v/>
        <stp/>
        <stp>*H</stp>
        <stp>AUDCAD a0-fx</stp>
        <stp>Last</stp>
        <stp>D</stp>
        <stp/>
        <stp>76</stp>
        <tr r="E80" s="1"/>
      </tp>
      <tp t="s">
        <v/>
        <stp/>
        <stp>*H</stp>
        <stp>AUDCAD a0-fx</stp>
        <stp>Last</stp>
        <stp>D</stp>
        <stp/>
        <stp>77</stp>
        <tr r="E81" s="1"/>
      </tp>
      <tp t="s">
        <v/>
        <stp/>
        <stp>*H</stp>
        <stp>AUDCAD a0-fx</stp>
        <stp>Last</stp>
        <stp>D</stp>
        <stp/>
        <stp>74</stp>
        <tr r="E78" s="1"/>
      </tp>
      <tp t="s">
        <v/>
        <stp/>
        <stp>*H</stp>
        <stp>AUDCAD a0-fx</stp>
        <stp>Last</stp>
        <stp>D</stp>
        <stp/>
        <stp>75</stp>
        <tr r="E79" s="1"/>
      </tp>
      <tp t="s">
        <v/>
        <stp/>
        <stp>*H</stp>
        <stp>AUDCAD a0-fx</stp>
        <stp>Last</stp>
        <stp>D</stp>
        <stp/>
        <stp>72</stp>
        <tr r="E76" s="1"/>
      </tp>
      <tp t="s">
        <v/>
        <stp/>
        <stp>*H</stp>
        <stp>AUDCAD a0-fx</stp>
        <stp>Last</stp>
        <stp>D</stp>
        <stp/>
        <stp>73</stp>
        <tr r="E77" s="1"/>
      </tp>
      <tp t="s">
        <v/>
        <stp/>
        <stp>*H</stp>
        <stp>AUDCAD a0-fx</stp>
        <stp>Last</stp>
        <stp>D</stp>
        <stp/>
        <stp>70</stp>
        <tr r="E74" s="1"/>
      </tp>
      <tp t="s">
        <v/>
        <stp/>
        <stp>*H</stp>
        <stp>AUDCAD a0-fx</stp>
        <stp>Last</stp>
        <stp>D</stp>
        <stp/>
        <stp>71</stp>
        <tr r="E75" s="1"/>
      </tp>
      <tp t="s">
        <v/>
        <stp/>
        <stp>*H</stp>
        <stp>AUDCAD a0-fx</stp>
        <stp>Last</stp>
        <stp>D</stp>
        <stp/>
        <stp>48</stp>
        <tr r="E52" s="1"/>
      </tp>
      <tp t="s">
        <v/>
        <stp/>
        <stp>*H</stp>
        <stp>AUDCAD a0-fx</stp>
        <stp>Last</stp>
        <stp>D</stp>
        <stp/>
        <stp>49</stp>
        <tr r="E53" s="1"/>
      </tp>
      <tp t="s">
        <v/>
        <stp/>
        <stp>*H</stp>
        <stp>AUDCAD a0-fx</stp>
        <stp>Last</stp>
        <stp>D</stp>
        <stp/>
        <stp>46</stp>
        <tr r="E50" s="1"/>
      </tp>
      <tp t="s">
        <v/>
        <stp/>
        <stp>*H</stp>
        <stp>AUDCAD a0-fx</stp>
        <stp>Last</stp>
        <stp>D</stp>
        <stp/>
        <stp>47</stp>
        <tr r="E51" s="1"/>
      </tp>
      <tp t="s">
        <v/>
        <stp/>
        <stp>*H</stp>
        <stp>AUDCAD a0-fx</stp>
        <stp>Last</stp>
        <stp>D</stp>
        <stp/>
        <stp>44</stp>
        <tr r="E48" s="1"/>
      </tp>
      <tp t="s">
        <v/>
        <stp/>
        <stp>*H</stp>
        <stp>AUDCAD a0-fx</stp>
        <stp>Last</stp>
        <stp>D</stp>
        <stp/>
        <stp>45</stp>
        <tr r="E49" s="1"/>
      </tp>
      <tp t="s">
        <v/>
        <stp/>
        <stp>*H</stp>
        <stp>AUDCAD a0-fx</stp>
        <stp>Last</stp>
        <stp>D</stp>
        <stp/>
        <stp>42</stp>
        <tr r="E46" s="1"/>
      </tp>
      <tp t="s">
        <v/>
        <stp/>
        <stp>*H</stp>
        <stp>AUDCAD a0-fx</stp>
        <stp>Last</stp>
        <stp>D</stp>
        <stp/>
        <stp>43</stp>
        <tr r="E47" s="1"/>
      </tp>
      <tp t="s">
        <v/>
        <stp/>
        <stp>*H</stp>
        <stp>AUDCAD a0-fx</stp>
        <stp>Last</stp>
        <stp>D</stp>
        <stp/>
        <stp>40</stp>
        <tr r="E44" s="1"/>
      </tp>
      <tp t="s">
        <v/>
        <stp/>
        <stp>*H</stp>
        <stp>AUDCAD a0-fx</stp>
        <stp>Last</stp>
        <stp>D</stp>
        <stp/>
        <stp>41</stp>
        <tr r="E45" s="1"/>
      </tp>
      <tp t="s">
        <v/>
        <stp/>
        <stp>*H</stp>
        <stp>AUDCAD a0-fx</stp>
        <stp>Last</stp>
        <stp>D</stp>
        <stp/>
        <stp>58</stp>
        <tr r="E62" s="1"/>
      </tp>
      <tp t="s">
        <v/>
        <stp/>
        <stp>*H</stp>
        <stp>AUDCAD a0-fx</stp>
        <stp>Last</stp>
        <stp>D</stp>
        <stp/>
        <stp>59</stp>
        <tr r="E63" s="1"/>
      </tp>
      <tp t="s">
        <v/>
        <stp/>
        <stp>*H</stp>
        <stp>AUDCAD a0-fx</stp>
        <stp>Last</stp>
        <stp>D</stp>
        <stp/>
        <stp>56</stp>
        <tr r="E60" s="1"/>
      </tp>
      <tp t="s">
        <v/>
        <stp/>
        <stp>*H</stp>
        <stp>AUDCAD a0-fx</stp>
        <stp>Last</stp>
        <stp>D</stp>
        <stp/>
        <stp>57</stp>
        <tr r="E61" s="1"/>
      </tp>
      <tp t="s">
        <v/>
        <stp/>
        <stp>*H</stp>
        <stp>AUDCAD a0-fx</stp>
        <stp>Last</stp>
        <stp>D</stp>
        <stp/>
        <stp>54</stp>
        <tr r="E58" s="1"/>
      </tp>
      <tp t="s">
        <v/>
        <stp/>
        <stp>*H</stp>
        <stp>AUDCAD a0-fx</stp>
        <stp>Last</stp>
        <stp>D</stp>
        <stp/>
        <stp>55</stp>
        <tr r="E59" s="1"/>
      </tp>
      <tp t="s">
        <v/>
        <stp/>
        <stp>*H</stp>
        <stp>AUDCAD a0-fx</stp>
        <stp>Last</stp>
        <stp>D</stp>
        <stp/>
        <stp>52</stp>
        <tr r="E56" s="1"/>
      </tp>
      <tp t="s">
        <v/>
        <stp/>
        <stp>*H</stp>
        <stp>AUDCAD a0-fx</stp>
        <stp>Last</stp>
        <stp>D</stp>
        <stp/>
        <stp>53</stp>
        <tr r="E57" s="1"/>
      </tp>
      <tp t="s">
        <v/>
        <stp/>
        <stp>*H</stp>
        <stp>AUDCAD a0-fx</stp>
        <stp>Last</stp>
        <stp>D</stp>
        <stp/>
        <stp>50</stp>
        <tr r="E54" s="1"/>
      </tp>
      <tp t="s">
        <v/>
        <stp/>
        <stp>*H</stp>
        <stp>AUDCAD a0-fx</stp>
        <stp>Last</stp>
        <stp>D</stp>
        <stp/>
        <stp>51</stp>
        <tr r="E55" s="1"/>
      </tp>
      <tp t="s">
        <v/>
        <stp/>
        <stp>*H</stp>
        <stp>AUDCAD a0-fx</stp>
        <stp>Open</stp>
        <stp>D</stp>
        <stp/>
        <stp>9</stp>
        <tr r="B13" s="1"/>
      </tp>
      <tp t="s">
        <v/>
        <stp/>
        <stp>*H</stp>
        <stp>AUDCAD a0-fx</stp>
        <stp>Open</stp>
        <stp>D</stp>
        <stp/>
        <stp>8</stp>
        <tr r="B12" s="1"/>
      </tp>
      <tp t="s">
        <v/>
        <stp/>
        <stp>*H</stp>
        <stp>AUDCAD a0-fx</stp>
        <stp>Open</stp>
        <stp>D</stp>
        <stp/>
        <stp>1</stp>
        <tr r="B5" s="1"/>
      </tp>
      <tp t="s">
        <v/>
        <stp/>
        <stp>*H</stp>
        <stp>AUDCAD a0-fx</stp>
        <stp>Open</stp>
        <stp>D</stp>
        <stp/>
        <stp>0</stp>
        <tr r="B4" s="1"/>
      </tp>
      <tp t="s">
        <v/>
        <stp/>
        <stp>*H</stp>
        <stp>AUDCAD a0-fx</stp>
        <stp>Open</stp>
        <stp>D</stp>
        <stp/>
        <stp>3</stp>
        <tr r="B7" s="1"/>
      </tp>
      <tp t="s">
        <v/>
        <stp/>
        <stp>*H</stp>
        <stp>AUDCAD a0-fx</stp>
        <stp>Open</stp>
        <stp>D</stp>
        <stp/>
        <stp>2</stp>
        <tr r="B6" s="1"/>
      </tp>
      <tp t="s">
        <v/>
        <stp/>
        <stp>*H</stp>
        <stp>AUDCAD a0-fx</stp>
        <stp>Open</stp>
        <stp>D</stp>
        <stp/>
        <stp>5</stp>
        <tr r="B9" s="1"/>
      </tp>
      <tp t="s">
        <v/>
        <stp/>
        <stp>*H</stp>
        <stp>AUDCAD a0-fx</stp>
        <stp>Open</stp>
        <stp>D</stp>
        <stp/>
        <stp>4</stp>
        <tr r="B8" s="1"/>
      </tp>
      <tp t="s">
        <v/>
        <stp/>
        <stp>*H</stp>
        <stp>AUDCAD a0-fx</stp>
        <stp>Open</stp>
        <stp>D</stp>
        <stp/>
        <stp>7</stp>
        <tr r="B11" s="1"/>
      </tp>
      <tp t="s">
        <v/>
        <stp/>
        <stp>*H</stp>
        <stp>AUDCAD a0-fx</stp>
        <stp>Open</stp>
        <stp>D</stp>
        <stp/>
        <stp>6</stp>
        <tr r="B10" s="1"/>
      </tp>
      <tp t="s">
        <v/>
        <stp/>
        <stp>*H</stp>
        <stp>AUDCAD a0-fx</stp>
        <stp>High</stp>
        <stp>D</stp>
        <stp/>
        <stp>8</stp>
        <tr r="C12" s="1"/>
      </tp>
      <tp t="s">
        <v/>
        <stp/>
        <stp>*H</stp>
        <stp>AUDCAD a0-fx</stp>
        <stp>High</stp>
        <stp>D</stp>
        <stp/>
        <stp>9</stp>
        <tr r="C13" s="1"/>
      </tp>
      <tp t="s">
        <v/>
        <stp/>
        <stp>*H</stp>
        <stp>AUDCAD a0-fx</stp>
        <stp>High</stp>
        <stp>D</stp>
        <stp/>
        <stp>6</stp>
        <tr r="C10" s="1"/>
      </tp>
      <tp t="s">
        <v/>
        <stp/>
        <stp>*H</stp>
        <stp>AUDCAD a0-fx</stp>
        <stp>High</stp>
        <stp>D</stp>
        <stp/>
        <stp>7</stp>
        <tr r="C11" s="1"/>
      </tp>
      <tp t="s">
        <v/>
        <stp/>
        <stp>*H</stp>
        <stp>AUDCAD a0-fx</stp>
        <stp>High</stp>
        <stp>D</stp>
        <stp/>
        <stp>4</stp>
        <tr r="C8" s="1"/>
      </tp>
      <tp t="s">
        <v/>
        <stp/>
        <stp>*H</stp>
        <stp>AUDCAD a0-fx</stp>
        <stp>High</stp>
        <stp>D</stp>
        <stp/>
        <stp>5</stp>
        <tr r="C9" s="1"/>
      </tp>
      <tp t="s">
        <v/>
        <stp/>
        <stp>*H</stp>
        <stp>AUDCAD a0-fx</stp>
        <stp>High</stp>
        <stp>D</stp>
        <stp/>
        <stp>2</stp>
        <tr r="C6" s="1"/>
      </tp>
      <tp t="s">
        <v/>
        <stp/>
        <stp>*H</stp>
        <stp>AUDCAD a0-fx</stp>
        <stp>High</stp>
        <stp>D</stp>
        <stp/>
        <stp>3</stp>
        <tr r="C7" s="1"/>
      </tp>
      <tp t="s">
        <v/>
        <stp/>
        <stp>*H</stp>
        <stp>AUDCAD a0-fx</stp>
        <stp>High</stp>
        <stp>D</stp>
        <stp/>
        <stp>0</stp>
        <tr r="C4" s="1"/>
      </tp>
      <tp t="s">
        <v/>
        <stp/>
        <stp>*H</stp>
        <stp>AUDCAD a0-fx</stp>
        <stp>High</stp>
        <stp>D</stp>
        <stp/>
        <stp>1</stp>
        <tr r="C5" s="1"/>
      </tp>
      <tp t="s">
        <v/>
        <stp/>
        <stp>*H</stp>
        <stp>AUDCAD a0-fx</stp>
        <stp>BarTime</stp>
        <stp>D</stp>
        <stp/>
        <stp>2</stp>
        <tr r="A6" s="1"/>
      </tp>
      <tp t="s">
        <v/>
        <stp/>
        <stp>*H</stp>
        <stp>AUDCAD a0-fx</stp>
        <stp>BarTime</stp>
        <stp>D</stp>
        <stp/>
        <stp>3</stp>
        <tr r="A7" s="1"/>
      </tp>
      <tp t="s">
        <v/>
        <stp/>
        <stp>*H</stp>
        <stp>AUDCAD a0-fx</stp>
        <stp>BarTime</stp>
        <stp>D</stp>
        <stp/>
        <stp>0</stp>
        <tr r="A4" s="1"/>
      </tp>
      <tp t="s">
        <v/>
        <stp/>
        <stp>*H</stp>
        <stp>AUDCAD a0-fx</stp>
        <stp>BarTime</stp>
        <stp>D</stp>
        <stp/>
        <stp>6</stp>
        <tr r="A10" s="1"/>
      </tp>
      <tp t="s">
        <v/>
        <stp/>
        <stp>*H</stp>
        <stp>AUDCAD a0-fx</stp>
        <stp>BarTime</stp>
        <stp>D</stp>
        <stp/>
        <stp>7</stp>
        <tr r="A11" s="1"/>
      </tp>
      <tp t="s">
        <v/>
        <stp/>
        <stp>*H</stp>
        <stp>AUDCAD a0-fx</stp>
        <stp>BarTime</stp>
        <stp>D</stp>
        <stp/>
        <stp>4</stp>
        <tr r="A8" s="1"/>
      </tp>
      <tp t="s">
        <v/>
        <stp/>
        <stp>*H</stp>
        <stp>AUDCAD a0-fx</stp>
        <stp>BarTime</stp>
        <stp>D</stp>
        <stp/>
        <stp>5</stp>
        <tr r="A9" s="1"/>
      </tp>
      <tp t="s">
        <v/>
        <stp/>
        <stp>*H</stp>
        <stp>AUDCAD a0-fx</stp>
        <stp>BarTime</stp>
        <stp>D</stp>
        <stp/>
        <stp>8</stp>
        <tr r="A12" s="1"/>
      </tp>
      <tp t="s">
        <v/>
        <stp/>
        <stp>*H</stp>
        <stp>AUDCAD a0-fx</stp>
        <stp>BarTime</stp>
        <stp>D</stp>
        <stp/>
        <stp>9</stp>
        <tr r="A13" s="1"/>
      </tp>
      <tp t="s">
        <v/>
        <stp/>
        <stp>*H</stp>
        <stp>AUDCAD a0-fx</stp>
        <stp>Low</stp>
        <stp>D</stp>
        <stp/>
        <stp>29</stp>
        <tr r="D33" s="1"/>
      </tp>
      <tp t="s">
        <v/>
        <stp/>
        <stp>*H</stp>
        <stp>AUDCAD a0-fx</stp>
        <stp>Low</stp>
        <stp>D</stp>
        <stp/>
        <stp>28</stp>
        <tr r="D32" s="1"/>
      </tp>
      <tp t="s">
        <v/>
        <stp/>
        <stp>*H</stp>
        <stp>AUDCAD a0-fx</stp>
        <stp>Low</stp>
        <stp>D</stp>
        <stp/>
        <stp>27</stp>
        <tr r="D31" s="1"/>
      </tp>
      <tp t="s">
        <v/>
        <stp/>
        <stp>*H</stp>
        <stp>AUDCAD a0-fx</stp>
        <stp>Low</stp>
        <stp>D</stp>
        <stp/>
        <stp>26</stp>
        <tr r="D30" s="1"/>
      </tp>
      <tp t="s">
        <v/>
        <stp/>
        <stp>*H</stp>
        <stp>AUDCAD a0-fx</stp>
        <stp>Low</stp>
        <stp>D</stp>
        <stp/>
        <stp>25</stp>
        <tr r="D29" s="1"/>
      </tp>
      <tp t="s">
        <v/>
        <stp/>
        <stp>*H</stp>
        <stp>AUDCAD a0-fx</stp>
        <stp>Low</stp>
        <stp>D</stp>
        <stp/>
        <stp>24</stp>
        <tr r="D28" s="1"/>
      </tp>
      <tp t="s">
        <v/>
        <stp/>
        <stp>*H</stp>
        <stp>AUDCAD a0-fx</stp>
        <stp>Low</stp>
        <stp>D</stp>
        <stp/>
        <stp>23</stp>
        <tr r="D27" s="1"/>
      </tp>
      <tp t="s">
        <v/>
        <stp/>
        <stp>*H</stp>
        <stp>AUDCAD a0-fx</stp>
        <stp>Low</stp>
        <stp>D</stp>
        <stp/>
        <stp>22</stp>
        <tr r="D26" s="1"/>
      </tp>
      <tp t="s">
        <v/>
        <stp/>
        <stp>*H</stp>
        <stp>AUDCAD a0-fx</stp>
        <stp>Low</stp>
        <stp>D</stp>
        <stp/>
        <stp>21</stp>
        <tr r="D25" s="1"/>
      </tp>
      <tp t="s">
        <v/>
        <stp/>
        <stp>*H</stp>
        <stp>AUDCAD a0-fx</stp>
        <stp>Low</stp>
        <stp>D</stp>
        <stp/>
        <stp>20</stp>
        <tr r="D24" s="1"/>
      </tp>
      <tp t="s">
        <v/>
        <stp/>
        <stp>*H</stp>
        <stp>AUDCAD a0-fx</stp>
        <stp>Low</stp>
        <stp>D</stp>
        <stp/>
        <stp>39</stp>
        <tr r="D43" s="1"/>
      </tp>
      <tp t="s">
        <v/>
        <stp/>
        <stp>*H</stp>
        <stp>AUDCAD a0-fx</stp>
        <stp>Low</stp>
        <stp>D</stp>
        <stp/>
        <stp>38</stp>
        <tr r="D42" s="1"/>
      </tp>
      <tp t="s">
        <v/>
        <stp/>
        <stp>*H</stp>
        <stp>AUDCAD a0-fx</stp>
        <stp>Low</stp>
        <stp>D</stp>
        <stp/>
        <stp>37</stp>
        <tr r="D41" s="1"/>
      </tp>
      <tp t="s">
        <v/>
        <stp/>
        <stp>*H</stp>
        <stp>AUDCAD a0-fx</stp>
        <stp>Low</stp>
        <stp>D</stp>
        <stp/>
        <stp>36</stp>
        <tr r="D40" s="1"/>
      </tp>
      <tp t="s">
        <v/>
        <stp/>
        <stp>*H</stp>
        <stp>AUDCAD a0-fx</stp>
        <stp>Low</stp>
        <stp>D</stp>
        <stp/>
        <stp>35</stp>
        <tr r="D39" s="1"/>
      </tp>
      <tp t="s">
        <v/>
        <stp/>
        <stp>*H</stp>
        <stp>AUDCAD a0-fx</stp>
        <stp>Low</stp>
        <stp>D</stp>
        <stp/>
        <stp>34</stp>
        <tr r="D38" s="1"/>
      </tp>
      <tp t="s">
        <v/>
        <stp/>
        <stp>*H</stp>
        <stp>AUDCAD a0-fx</stp>
        <stp>Low</stp>
        <stp>D</stp>
        <stp/>
        <stp>33</stp>
        <tr r="D37" s="1"/>
      </tp>
      <tp t="s">
        <v/>
        <stp/>
        <stp>*H</stp>
        <stp>AUDCAD a0-fx</stp>
        <stp>Low</stp>
        <stp>D</stp>
        <stp/>
        <stp>32</stp>
        <tr r="D36" s="1"/>
      </tp>
      <tp t="s">
        <v/>
        <stp/>
        <stp>*H</stp>
        <stp>AUDCAD a0-fx</stp>
        <stp>Low</stp>
        <stp>D</stp>
        <stp/>
        <stp>31</stp>
        <tr r="D35" s="1"/>
      </tp>
      <tp t="s">
        <v/>
        <stp/>
        <stp>*H</stp>
        <stp>AUDCAD a0-fx</stp>
        <stp>Low</stp>
        <stp>D</stp>
        <stp/>
        <stp>30</stp>
        <tr r="D34" s="1"/>
      </tp>
      <tp t="s">
        <v/>
        <stp/>
        <stp>*H</stp>
        <stp>AUDCAD a0-fx</stp>
        <stp>Low</stp>
        <stp>D</stp>
        <stp/>
        <stp>19</stp>
        <tr r="D23" s="1"/>
      </tp>
      <tp t="s">
        <v/>
        <stp/>
        <stp>*H</stp>
        <stp>AUDCAD a0-fx</stp>
        <stp>Low</stp>
        <stp>D</stp>
        <stp/>
        <stp>18</stp>
        <tr r="D22" s="1"/>
      </tp>
      <tp t="s">
        <v/>
        <stp/>
        <stp>*H</stp>
        <stp>AUDCAD a0-fx</stp>
        <stp>Low</stp>
        <stp>D</stp>
        <stp/>
        <stp>17</stp>
        <tr r="D21" s="1"/>
      </tp>
      <tp t="s">
        <v/>
        <stp/>
        <stp>*H</stp>
        <stp>AUDCAD a0-fx</stp>
        <stp>Low</stp>
        <stp>D</stp>
        <stp/>
        <stp>16</stp>
        <tr r="D20" s="1"/>
      </tp>
      <tp t="s">
        <v/>
        <stp/>
        <stp>*H</stp>
        <stp>AUDCAD a0-fx</stp>
        <stp>Low</stp>
        <stp>D</stp>
        <stp/>
        <stp>15</stp>
        <tr r="D19" s="1"/>
      </tp>
      <tp t="s">
        <v/>
        <stp/>
        <stp>*H</stp>
        <stp>AUDCAD a0-fx</stp>
        <stp>Low</stp>
        <stp>D</stp>
        <stp/>
        <stp>14</stp>
        <tr r="D18" s="1"/>
      </tp>
      <tp t="s">
        <v/>
        <stp/>
        <stp>*H</stp>
        <stp>AUDCAD a0-fx</stp>
        <stp>Low</stp>
        <stp>D</stp>
        <stp/>
        <stp>13</stp>
        <tr r="D17" s="1"/>
      </tp>
      <tp t="s">
        <v/>
        <stp/>
        <stp>*H</stp>
        <stp>AUDCAD a0-fx</stp>
        <stp>Low</stp>
        <stp>D</stp>
        <stp/>
        <stp>12</stp>
        <tr r="D16" s="1"/>
      </tp>
      <tp t="s">
        <v/>
        <stp/>
        <stp>*H</stp>
        <stp>AUDCAD a0-fx</stp>
        <stp>Low</stp>
        <stp>D</stp>
        <stp/>
        <stp>11</stp>
        <tr r="D15" s="1"/>
      </tp>
      <tp t="s">
        <v/>
        <stp/>
        <stp>*H</stp>
        <stp>AUDCAD a0-fx</stp>
        <stp>Low</stp>
        <stp>D</stp>
        <stp/>
        <stp>10</stp>
        <tr r="D14" s="1"/>
      </tp>
      <tp t="s">
        <v/>
        <stp/>
        <stp>*H</stp>
        <stp>AUDCAD a0-fx</stp>
        <stp>Low</stp>
        <stp>D</stp>
        <stp/>
        <stp>69</stp>
        <tr r="D73" s="1"/>
      </tp>
      <tp t="s">
        <v/>
        <stp/>
        <stp>*H</stp>
        <stp>AUDCAD a0-fx</stp>
        <stp>Low</stp>
        <stp>D</stp>
        <stp/>
        <stp>68</stp>
        <tr r="D72" s="1"/>
      </tp>
      <tp t="s">
        <v/>
        <stp/>
        <stp>*H</stp>
        <stp>AUDCAD a0-fx</stp>
        <stp>Low</stp>
        <stp>D</stp>
        <stp/>
        <stp>67</stp>
        <tr r="D71" s="1"/>
      </tp>
      <tp t="s">
        <v/>
        <stp/>
        <stp>*H</stp>
        <stp>AUDCAD a0-fx</stp>
        <stp>Low</stp>
        <stp>D</stp>
        <stp/>
        <stp>66</stp>
        <tr r="D70" s="1"/>
      </tp>
      <tp t="s">
        <v/>
        <stp/>
        <stp>*H</stp>
        <stp>AUDCAD a0-fx</stp>
        <stp>Low</stp>
        <stp>D</stp>
        <stp/>
        <stp>65</stp>
        <tr r="D69" s="1"/>
      </tp>
      <tp t="s">
        <v/>
        <stp/>
        <stp>*H</stp>
        <stp>AUDCAD a0-fx</stp>
        <stp>Low</stp>
        <stp>D</stp>
        <stp/>
        <stp>64</stp>
        <tr r="D68" s="1"/>
      </tp>
      <tp t="s">
        <v/>
        <stp/>
        <stp>*H</stp>
        <stp>AUDCAD a0-fx</stp>
        <stp>Low</stp>
        <stp>D</stp>
        <stp/>
        <stp>63</stp>
        <tr r="D67" s="1"/>
      </tp>
      <tp t="s">
        <v/>
        <stp/>
        <stp>*H</stp>
        <stp>AUDCAD a0-fx</stp>
        <stp>Low</stp>
        <stp>D</stp>
        <stp/>
        <stp>62</stp>
        <tr r="D66" s="1"/>
      </tp>
      <tp t="s">
        <v/>
        <stp/>
        <stp>*H</stp>
        <stp>AUDCAD a0-fx</stp>
        <stp>Low</stp>
        <stp>D</stp>
        <stp/>
        <stp>61</stp>
        <tr r="D65" s="1"/>
      </tp>
      <tp t="s">
        <v/>
        <stp/>
        <stp>*H</stp>
        <stp>AUDCAD a0-fx</stp>
        <stp>Low</stp>
        <stp>D</stp>
        <stp/>
        <stp>60</stp>
        <tr r="D64" s="1"/>
      </tp>
      <tp t="s">
        <v/>
        <stp/>
        <stp>*H</stp>
        <stp>AUDCAD a0-fx</stp>
        <stp>Low</stp>
        <stp>D</stp>
        <stp/>
        <stp>79</stp>
        <tr r="D83" s="1"/>
      </tp>
      <tp t="s">
        <v/>
        <stp/>
        <stp>*H</stp>
        <stp>AUDCAD a0-fx</stp>
        <stp>Low</stp>
        <stp>D</stp>
        <stp/>
        <stp>78</stp>
        <tr r="D82" s="1"/>
      </tp>
      <tp t="s">
        <v/>
        <stp/>
        <stp>*H</stp>
        <stp>AUDCAD a0-fx</stp>
        <stp>Low</stp>
        <stp>D</stp>
        <stp/>
        <stp>77</stp>
        <tr r="D81" s="1"/>
      </tp>
      <tp t="s">
        <v/>
        <stp/>
        <stp>*H</stp>
        <stp>AUDCAD a0-fx</stp>
        <stp>Low</stp>
        <stp>D</stp>
        <stp/>
        <stp>76</stp>
        <tr r="D80" s="1"/>
      </tp>
      <tp t="s">
        <v/>
        <stp/>
        <stp>*H</stp>
        <stp>AUDCAD a0-fx</stp>
        <stp>Low</stp>
        <stp>D</stp>
        <stp/>
        <stp>75</stp>
        <tr r="D79" s="1"/>
      </tp>
      <tp t="s">
        <v/>
        <stp/>
        <stp>*H</stp>
        <stp>AUDCAD a0-fx</stp>
        <stp>Low</stp>
        <stp>D</stp>
        <stp/>
        <stp>74</stp>
        <tr r="D78" s="1"/>
      </tp>
      <tp t="s">
        <v/>
        <stp/>
        <stp>*H</stp>
        <stp>AUDCAD a0-fx</stp>
        <stp>Low</stp>
        <stp>D</stp>
        <stp/>
        <stp>73</stp>
        <tr r="D77" s="1"/>
      </tp>
      <tp t="s">
        <v/>
        <stp/>
        <stp>*H</stp>
        <stp>AUDCAD a0-fx</stp>
        <stp>Low</stp>
        <stp>D</stp>
        <stp/>
        <stp>72</stp>
        <tr r="D76" s="1"/>
      </tp>
      <tp t="s">
        <v/>
        <stp/>
        <stp>*H</stp>
        <stp>AUDCAD a0-fx</stp>
        <stp>Low</stp>
        <stp>D</stp>
        <stp/>
        <stp>71</stp>
        <tr r="D75" s="1"/>
      </tp>
      <tp t="s">
        <v/>
        <stp/>
        <stp>*H</stp>
        <stp>AUDCAD a0-fx</stp>
        <stp>Low</stp>
        <stp>D</stp>
        <stp/>
        <stp>70</stp>
        <tr r="D74" s="1"/>
      </tp>
      <tp t="s">
        <v/>
        <stp/>
        <stp>*H</stp>
        <stp>AUDCAD a0-fx</stp>
        <stp>Low</stp>
        <stp>D</stp>
        <stp/>
        <stp>49</stp>
        <tr r="D53" s="1"/>
      </tp>
      <tp t="s">
        <v/>
        <stp/>
        <stp>*H</stp>
        <stp>AUDCAD a0-fx</stp>
        <stp>Low</stp>
        <stp>D</stp>
        <stp/>
        <stp>48</stp>
        <tr r="D52" s="1"/>
      </tp>
      <tp t="s">
        <v/>
        <stp/>
        <stp>*H</stp>
        <stp>AUDCAD a0-fx</stp>
        <stp>Low</stp>
        <stp>D</stp>
        <stp/>
        <stp>47</stp>
        <tr r="D51" s="1"/>
      </tp>
      <tp t="s">
        <v/>
        <stp/>
        <stp>*H</stp>
        <stp>AUDCAD a0-fx</stp>
        <stp>Low</stp>
        <stp>D</stp>
        <stp/>
        <stp>46</stp>
        <tr r="D50" s="1"/>
      </tp>
      <tp t="s">
        <v/>
        <stp/>
        <stp>*H</stp>
        <stp>AUDCAD a0-fx</stp>
        <stp>Low</stp>
        <stp>D</stp>
        <stp/>
        <stp>45</stp>
        <tr r="D49" s="1"/>
      </tp>
      <tp t="s">
        <v/>
        <stp/>
        <stp>*H</stp>
        <stp>AUDCAD a0-fx</stp>
        <stp>Low</stp>
        <stp>D</stp>
        <stp/>
        <stp>44</stp>
        <tr r="D48" s="1"/>
      </tp>
      <tp t="s">
        <v/>
        <stp/>
        <stp>*H</stp>
        <stp>AUDCAD a0-fx</stp>
        <stp>Low</stp>
        <stp>D</stp>
        <stp/>
        <stp>43</stp>
        <tr r="D47" s="1"/>
      </tp>
      <tp t="s">
        <v/>
        <stp/>
        <stp>*H</stp>
        <stp>AUDCAD a0-fx</stp>
        <stp>Low</stp>
        <stp>D</stp>
        <stp/>
        <stp>42</stp>
        <tr r="D46" s="1"/>
      </tp>
      <tp t="s">
        <v/>
        <stp/>
        <stp>*H</stp>
        <stp>AUDCAD a0-fx</stp>
        <stp>Low</stp>
        <stp>D</stp>
        <stp/>
        <stp>41</stp>
        <tr r="D45" s="1"/>
      </tp>
      <tp t="s">
        <v/>
        <stp/>
        <stp>*H</stp>
        <stp>AUDCAD a0-fx</stp>
        <stp>Low</stp>
        <stp>D</stp>
        <stp/>
        <stp>40</stp>
        <tr r="D44" s="1"/>
      </tp>
      <tp t="s">
        <v/>
        <stp/>
        <stp>*H</stp>
        <stp>AUDCAD a0-fx</stp>
        <stp>Low</stp>
        <stp>D</stp>
        <stp/>
        <stp>59</stp>
        <tr r="D63" s="1"/>
      </tp>
      <tp t="s">
        <v/>
        <stp/>
        <stp>*H</stp>
        <stp>AUDCAD a0-fx</stp>
        <stp>Low</stp>
        <stp>D</stp>
        <stp/>
        <stp>58</stp>
        <tr r="D62" s="1"/>
      </tp>
      <tp t="s">
        <v/>
        <stp/>
        <stp>*H</stp>
        <stp>AUDCAD a0-fx</stp>
        <stp>Low</stp>
        <stp>D</stp>
        <stp/>
        <stp>57</stp>
        <tr r="D61" s="1"/>
      </tp>
      <tp t="s">
        <v/>
        <stp/>
        <stp>*H</stp>
        <stp>AUDCAD a0-fx</stp>
        <stp>Low</stp>
        <stp>D</stp>
        <stp/>
        <stp>56</stp>
        <tr r="D60" s="1"/>
      </tp>
      <tp t="s">
        <v/>
        <stp/>
        <stp>*H</stp>
        <stp>AUDCAD a0-fx</stp>
        <stp>Low</stp>
        <stp>D</stp>
        <stp/>
        <stp>55</stp>
        <tr r="D59" s="1"/>
      </tp>
      <tp t="s">
        <v/>
        <stp/>
        <stp>*H</stp>
        <stp>AUDCAD a0-fx</stp>
        <stp>Low</stp>
        <stp>D</stp>
        <stp/>
        <stp>54</stp>
        <tr r="D58" s="1"/>
      </tp>
      <tp t="s">
        <v/>
        <stp/>
        <stp>*H</stp>
        <stp>AUDCAD a0-fx</stp>
        <stp>Low</stp>
        <stp>D</stp>
        <stp/>
        <stp>53</stp>
        <tr r="D57" s="1"/>
      </tp>
      <tp t="s">
        <v/>
        <stp/>
        <stp>*H</stp>
        <stp>AUDCAD a0-fx</stp>
        <stp>Low</stp>
        <stp>D</stp>
        <stp/>
        <stp>52</stp>
        <tr r="D56" s="1"/>
      </tp>
      <tp t="s">
        <v/>
        <stp/>
        <stp>*H</stp>
        <stp>AUDCAD a0-fx</stp>
        <stp>Low</stp>
        <stp>D</stp>
        <stp/>
        <stp>51</stp>
        <tr r="D55" s="1"/>
      </tp>
      <tp t="s">
        <v/>
        <stp/>
        <stp>*H</stp>
        <stp>AUDCAD a0-fx</stp>
        <stp>Low</stp>
        <stp>D</stp>
        <stp/>
        <stp>50</stp>
        <tr r="D54" s="1"/>
      </tp>
      <tp t="s">
        <v/>
        <stp/>
        <stp>*H</stp>
        <stp>AUDCAD a0-fx</stp>
        <stp>Low</stp>
        <stp>D</stp>
        <stp/>
        <stp>89</stp>
        <tr r="D93" s="1"/>
      </tp>
      <tp t="s">
        <v/>
        <stp/>
        <stp>*H</stp>
        <stp>AUDCAD a0-fx</stp>
        <stp>Low</stp>
        <stp>D</stp>
        <stp/>
        <stp>88</stp>
        <tr r="D92" s="1"/>
      </tp>
      <tp t="s">
        <v/>
        <stp/>
        <stp>*H</stp>
        <stp>AUDCAD a0-fx</stp>
        <stp>Low</stp>
        <stp>D</stp>
        <stp/>
        <stp>87</stp>
        <tr r="D91" s="1"/>
      </tp>
      <tp t="s">
        <v/>
        <stp/>
        <stp>*H</stp>
        <stp>AUDCAD a0-fx</stp>
        <stp>Low</stp>
        <stp>D</stp>
        <stp/>
        <stp>86</stp>
        <tr r="D90" s="1"/>
      </tp>
      <tp t="s">
        <v/>
        <stp/>
        <stp>*H</stp>
        <stp>AUDCAD a0-fx</stp>
        <stp>Low</stp>
        <stp>D</stp>
        <stp/>
        <stp>85</stp>
        <tr r="D89" s="1"/>
      </tp>
      <tp t="s">
        <v/>
        <stp/>
        <stp>*H</stp>
        <stp>AUDCAD a0-fx</stp>
        <stp>Low</stp>
        <stp>D</stp>
        <stp/>
        <stp>84</stp>
        <tr r="D88" s="1"/>
      </tp>
      <tp t="s">
        <v/>
        <stp/>
        <stp>*H</stp>
        <stp>AUDCAD a0-fx</stp>
        <stp>Low</stp>
        <stp>D</stp>
        <stp/>
        <stp>83</stp>
        <tr r="D87" s="1"/>
      </tp>
      <tp t="s">
        <v/>
        <stp/>
        <stp>*H</stp>
        <stp>AUDCAD a0-fx</stp>
        <stp>Low</stp>
        <stp>D</stp>
        <stp/>
        <stp>82</stp>
        <tr r="D86" s="1"/>
      </tp>
      <tp t="s">
        <v/>
        <stp/>
        <stp>*H</stp>
        <stp>AUDCAD a0-fx</stp>
        <stp>Low</stp>
        <stp>D</stp>
        <stp/>
        <stp>81</stp>
        <tr r="D85" s="1"/>
      </tp>
      <tp t="s">
        <v/>
        <stp/>
        <stp>*H</stp>
        <stp>AUDCAD a0-fx</stp>
        <stp>Low</stp>
        <stp>D</stp>
        <stp/>
        <stp>80</stp>
        <tr r="D84" s="1"/>
      </tp>
      <tp t="s">
        <v/>
        <stp/>
        <stp>*H</stp>
        <stp>AUDCAD a0-fx</stp>
        <stp>Low</stp>
        <stp>D</stp>
        <stp/>
        <stp>99</stp>
        <tr r="D103" s="1"/>
      </tp>
      <tp t="s">
        <v/>
        <stp/>
        <stp>*H</stp>
        <stp>AUDCAD a0-fx</stp>
        <stp>Low</stp>
        <stp>D</stp>
        <stp/>
        <stp>98</stp>
        <tr r="D102" s="1"/>
      </tp>
      <tp t="s">
        <v/>
        <stp/>
        <stp>*H</stp>
        <stp>AUDCAD a0-fx</stp>
        <stp>Low</stp>
        <stp>D</stp>
        <stp/>
        <stp>97</stp>
        <tr r="D101" s="1"/>
      </tp>
      <tp t="s">
        <v/>
        <stp/>
        <stp>*H</stp>
        <stp>AUDCAD a0-fx</stp>
        <stp>Low</stp>
        <stp>D</stp>
        <stp/>
        <stp>96</stp>
        <tr r="D100" s="1"/>
      </tp>
      <tp t="s">
        <v/>
        <stp/>
        <stp>*H</stp>
        <stp>AUDCAD a0-fx</stp>
        <stp>Low</stp>
        <stp>D</stp>
        <stp/>
        <stp>95</stp>
        <tr r="D99" s="1"/>
      </tp>
      <tp t="s">
        <v/>
        <stp/>
        <stp>*H</stp>
        <stp>AUDCAD a0-fx</stp>
        <stp>Low</stp>
        <stp>D</stp>
        <stp/>
        <stp>94</stp>
        <tr r="D98" s="1"/>
      </tp>
      <tp t="s">
        <v/>
        <stp/>
        <stp>*H</stp>
        <stp>AUDCAD a0-fx</stp>
        <stp>Low</stp>
        <stp>D</stp>
        <stp/>
        <stp>93</stp>
        <tr r="D97" s="1"/>
      </tp>
      <tp t="s">
        <v/>
        <stp/>
        <stp>*H</stp>
        <stp>AUDCAD a0-fx</stp>
        <stp>Low</stp>
        <stp>D</stp>
        <stp/>
        <stp>92</stp>
        <tr r="D96" s="1"/>
      </tp>
      <tp t="s">
        <v/>
        <stp/>
        <stp>*H</stp>
        <stp>AUDCAD a0-fx</stp>
        <stp>Low</stp>
        <stp>D</stp>
        <stp/>
        <stp>91</stp>
        <tr r="D95" s="1"/>
      </tp>
      <tp t="s">
        <v/>
        <stp/>
        <stp>*H</stp>
        <stp>AUDCAD a0-fx</stp>
        <stp>Low</stp>
        <stp>D</stp>
        <stp/>
        <stp>90</stp>
        <tr r="D94" s="1"/>
      </tp>
      <tp t="s">
        <v/>
        <stp/>
        <stp>*H</stp>
        <stp>AUDCAD a0-fx</stp>
        <stp>Last</stp>
        <stp>D</stp>
        <stp/>
        <stp>8</stp>
        <tr r="E12" s="1"/>
      </tp>
      <tp t="s">
        <v/>
        <stp/>
        <stp>*H</stp>
        <stp>AUDCAD a0-fx</stp>
        <stp>Last</stp>
        <stp>D</stp>
        <stp/>
        <stp>9</stp>
        <tr r="E13" s="1"/>
      </tp>
      <tp t="s">
        <v/>
        <stp/>
        <stp>*H</stp>
        <stp>AUDCAD a0-fx</stp>
        <stp>Last</stp>
        <stp>D</stp>
        <stp/>
        <stp>2</stp>
        <tr r="E6" s="1"/>
      </tp>
      <tp t="s">
        <v/>
        <stp/>
        <stp>*H</stp>
        <stp>AUDCAD a0-fx</stp>
        <stp>Last</stp>
        <stp>D</stp>
        <stp/>
        <stp>3</stp>
        <tr r="E7" s="1"/>
      </tp>
      <tp t="s">
        <v/>
        <stp/>
        <stp>*H</stp>
        <stp>AUDCAD a0-fx</stp>
        <stp>Last</stp>
        <stp>D</stp>
        <stp/>
        <stp>0</stp>
        <tr r="E4" s="1"/>
      </tp>
      <tp t="s">
        <v/>
        <stp/>
        <stp>*H</stp>
        <stp>AUDCAD a0-fx</stp>
        <stp>Last</stp>
        <stp>D</stp>
        <stp/>
        <stp>1</stp>
        <tr r="E5" s="1"/>
      </tp>
      <tp t="s">
        <v/>
        <stp/>
        <stp>*H</stp>
        <stp>AUDCAD a0-fx</stp>
        <stp>Last</stp>
        <stp>D</stp>
        <stp/>
        <stp>6</stp>
        <tr r="E10" s="1"/>
      </tp>
      <tp t="s">
        <v/>
        <stp/>
        <stp>*H</stp>
        <stp>AUDCAD a0-fx</stp>
        <stp>Last</stp>
        <stp>D</stp>
        <stp/>
        <stp>7</stp>
        <tr r="E11" s="1"/>
      </tp>
      <tp t="s">
        <v/>
        <stp/>
        <stp>*H</stp>
        <stp>AUDCAD a0-fx</stp>
        <stp>Last</stp>
        <stp>D</stp>
        <stp/>
        <stp>4</stp>
        <tr r="E8" s="1"/>
      </tp>
      <tp t="s">
        <v/>
        <stp/>
        <stp>*H</stp>
        <stp>AUDCAD a0-fx</stp>
        <stp>Last</stp>
        <stp>D</stp>
        <stp/>
        <stp>5</stp>
        <tr r="E9" s="1"/>
      </tp>
      <tp t="s">
        <v/>
        <stp/>
        <stp>*H</stp>
        <stp>AUDCAD a0-fx</stp>
        <stp>Low</stp>
        <stp>D</stp>
        <stp/>
        <stp>264</stp>
        <tr r="D268" s="1"/>
      </tp>
      <tp t="s">
        <v/>
        <stp/>
        <stp>*H</stp>
        <stp>AUDCAD a0-fx</stp>
        <stp>Low</stp>
        <stp>D</stp>
        <stp/>
        <stp>260</stp>
        <tr r="D264" s="1"/>
      </tp>
      <tp t="s">
        <v/>
        <stp/>
        <stp>*H</stp>
        <stp>AUDCAD a0-fx</stp>
        <stp>Low</stp>
        <stp>D</stp>
        <stp/>
        <stp>261</stp>
        <tr r="D265" s="1"/>
      </tp>
      <tp t="s">
        <v/>
        <stp/>
        <stp>*H</stp>
        <stp>AUDCAD a0-fx</stp>
        <stp>Low</stp>
        <stp>D</stp>
        <stp/>
        <stp>262</stp>
        <tr r="D266" s="1"/>
      </tp>
      <tp t="s">
        <v/>
        <stp/>
        <stp>*H</stp>
        <stp>AUDCAD a0-fx</stp>
        <stp>Low</stp>
        <stp>D</stp>
        <stp/>
        <stp>263</stp>
        <tr r="D267" s="1"/>
      </tp>
      <tp t="s">
        <v/>
        <stp/>
        <stp>*H</stp>
        <stp>AUDCAD a0-fx</stp>
        <stp>Low</stp>
        <stp>D</stp>
        <stp/>
        <stp>254</stp>
        <tr r="D258" s="1"/>
      </tp>
      <tp t="s">
        <v/>
        <stp/>
        <stp>*H</stp>
        <stp>AUDCAD a0-fx</stp>
        <stp>Low</stp>
        <stp>D</stp>
        <stp/>
        <stp>255</stp>
        <tr r="D259" s="1"/>
      </tp>
      <tp t="s">
        <v/>
        <stp/>
        <stp>*H</stp>
        <stp>AUDCAD a0-fx</stp>
        <stp>Low</stp>
        <stp>D</stp>
        <stp/>
        <stp>256</stp>
        <tr r="D260" s="1"/>
      </tp>
      <tp t="s">
        <v/>
        <stp/>
        <stp>*H</stp>
        <stp>AUDCAD a0-fx</stp>
        <stp>Low</stp>
        <stp>D</stp>
        <stp/>
        <stp>257</stp>
        <tr r="D261" s="1"/>
      </tp>
      <tp t="s">
        <v/>
        <stp/>
        <stp>*H</stp>
        <stp>AUDCAD a0-fx</stp>
        <stp>Low</stp>
        <stp>D</stp>
        <stp/>
        <stp>250</stp>
        <tr r="D254" s="1"/>
      </tp>
      <tp t="s">
        <v/>
        <stp/>
        <stp>*H</stp>
        <stp>AUDCAD a0-fx</stp>
        <stp>Low</stp>
        <stp>D</stp>
        <stp/>
        <stp>251</stp>
        <tr r="D255" s="1"/>
      </tp>
      <tp t="s">
        <v/>
        <stp/>
        <stp>*H</stp>
        <stp>AUDCAD a0-fx</stp>
        <stp>Low</stp>
        <stp>D</stp>
        <stp/>
        <stp>252</stp>
        <tr r="D256" s="1"/>
      </tp>
      <tp t="s">
        <v/>
        <stp/>
        <stp>*H</stp>
        <stp>AUDCAD a0-fx</stp>
        <stp>Low</stp>
        <stp>D</stp>
        <stp/>
        <stp>253</stp>
        <tr r="D257" s="1"/>
      </tp>
      <tp t="s">
        <v/>
        <stp/>
        <stp>*H</stp>
        <stp>AUDCAD a0-fx</stp>
        <stp>Low</stp>
        <stp>D</stp>
        <stp/>
        <stp>258</stp>
        <tr r="D262" s="1"/>
      </tp>
      <tp t="s">
        <v/>
        <stp/>
        <stp>*H</stp>
        <stp>AUDCAD a0-fx</stp>
        <stp>Low</stp>
        <stp>D</stp>
        <stp/>
        <stp>259</stp>
        <tr r="D263" s="1"/>
      </tp>
      <tp t="s">
        <v/>
        <stp/>
        <stp>*H</stp>
        <stp>AUDCAD a0-fx</stp>
        <stp>Low</stp>
        <stp>D</stp>
        <stp/>
        <stp>244</stp>
        <tr r="D248" s="1"/>
      </tp>
      <tp t="s">
        <v/>
        <stp/>
        <stp>*H</stp>
        <stp>AUDCAD a0-fx</stp>
        <stp>Low</stp>
        <stp>D</stp>
        <stp/>
        <stp>245</stp>
        <tr r="D249" s="1"/>
      </tp>
      <tp t="s">
        <v/>
        <stp/>
        <stp>*H</stp>
        <stp>AUDCAD a0-fx</stp>
        <stp>Low</stp>
        <stp>D</stp>
        <stp/>
        <stp>246</stp>
        <tr r="D250" s="1"/>
      </tp>
      <tp t="s">
        <v/>
        <stp/>
        <stp>*H</stp>
        <stp>AUDCAD a0-fx</stp>
        <stp>Low</stp>
        <stp>D</stp>
        <stp/>
        <stp>247</stp>
        <tr r="D251" s="1"/>
      </tp>
      <tp t="s">
        <v/>
        <stp/>
        <stp>*H</stp>
        <stp>AUDCAD a0-fx</stp>
        <stp>Low</stp>
        <stp>D</stp>
        <stp/>
        <stp>240</stp>
        <tr r="D244" s="1"/>
      </tp>
      <tp t="s">
        <v/>
        <stp/>
        <stp>*H</stp>
        <stp>AUDCAD a0-fx</stp>
        <stp>Low</stp>
        <stp>D</stp>
        <stp/>
        <stp>241</stp>
        <tr r="D245" s="1"/>
      </tp>
      <tp t="s">
        <v/>
        <stp/>
        <stp>*H</stp>
        <stp>AUDCAD a0-fx</stp>
        <stp>Low</stp>
        <stp>D</stp>
        <stp/>
        <stp>242</stp>
        <tr r="D246" s="1"/>
      </tp>
      <tp t="s">
        <v/>
        <stp/>
        <stp>*H</stp>
        <stp>AUDCAD a0-fx</stp>
        <stp>Low</stp>
        <stp>D</stp>
        <stp/>
        <stp>243</stp>
        <tr r="D247" s="1"/>
      </tp>
      <tp t="s">
        <v/>
        <stp/>
        <stp>*H</stp>
        <stp>AUDCAD a0-fx</stp>
        <stp>Low</stp>
        <stp>D</stp>
        <stp/>
        <stp>248</stp>
        <tr r="D252" s="1"/>
      </tp>
      <tp t="s">
        <v/>
        <stp/>
        <stp>*H</stp>
        <stp>AUDCAD a0-fx</stp>
        <stp>Low</stp>
        <stp>D</stp>
        <stp/>
        <stp>249</stp>
        <tr r="D253" s="1"/>
      </tp>
      <tp t="s">
        <v/>
        <stp/>
        <stp>*H</stp>
        <stp>AUDCAD a0-fx</stp>
        <stp>Low</stp>
        <stp>D</stp>
        <stp/>
        <stp>234</stp>
        <tr r="D238" s="1"/>
      </tp>
      <tp t="s">
        <v/>
        <stp/>
        <stp>*H</stp>
        <stp>AUDCAD a0-fx</stp>
        <stp>Low</stp>
        <stp>D</stp>
        <stp/>
        <stp>235</stp>
        <tr r="D239" s="1"/>
      </tp>
      <tp t="s">
        <v/>
        <stp/>
        <stp>*H</stp>
        <stp>AUDCAD a0-fx</stp>
        <stp>Low</stp>
        <stp>D</stp>
        <stp/>
        <stp>236</stp>
        <tr r="D240" s="1"/>
      </tp>
      <tp t="s">
        <v/>
        <stp/>
        <stp>*H</stp>
        <stp>AUDCAD a0-fx</stp>
        <stp>Low</stp>
        <stp>D</stp>
        <stp/>
        <stp>237</stp>
        <tr r="D241" s="1"/>
      </tp>
      <tp t="s">
        <v/>
        <stp/>
        <stp>*H</stp>
        <stp>AUDCAD a0-fx</stp>
        <stp>Low</stp>
        <stp>D</stp>
        <stp/>
        <stp>230</stp>
        <tr r="D234" s="1"/>
      </tp>
      <tp t="s">
        <v/>
        <stp/>
        <stp>*H</stp>
        <stp>AUDCAD a0-fx</stp>
        <stp>Low</stp>
        <stp>D</stp>
        <stp/>
        <stp>231</stp>
        <tr r="D235" s="1"/>
      </tp>
      <tp t="s">
        <v/>
        <stp/>
        <stp>*H</stp>
        <stp>AUDCAD a0-fx</stp>
        <stp>Low</stp>
        <stp>D</stp>
        <stp/>
        <stp>232</stp>
        <tr r="D236" s="1"/>
      </tp>
      <tp t="s">
        <v/>
        <stp/>
        <stp>*H</stp>
        <stp>AUDCAD a0-fx</stp>
        <stp>Low</stp>
        <stp>D</stp>
        <stp/>
        <stp>233</stp>
        <tr r="D237" s="1"/>
      </tp>
      <tp t="s">
        <v/>
        <stp/>
        <stp>*H</stp>
        <stp>AUDCAD a0-fx</stp>
        <stp>Low</stp>
        <stp>D</stp>
        <stp/>
        <stp>238</stp>
        <tr r="D242" s="1"/>
      </tp>
      <tp t="s">
        <v/>
        <stp/>
        <stp>*H</stp>
        <stp>AUDCAD a0-fx</stp>
        <stp>Low</stp>
        <stp>D</stp>
        <stp/>
        <stp>239</stp>
        <tr r="D243" s="1"/>
      </tp>
      <tp t="s">
        <v/>
        <stp/>
        <stp>*H</stp>
        <stp>AUDCAD a0-fx</stp>
        <stp>Low</stp>
        <stp>D</stp>
        <stp/>
        <stp>224</stp>
        <tr r="D228" s="1"/>
      </tp>
      <tp t="s">
        <v/>
        <stp/>
        <stp>*H</stp>
        <stp>AUDCAD a0-fx</stp>
        <stp>Low</stp>
        <stp>D</stp>
        <stp/>
        <stp>225</stp>
        <tr r="D229" s="1"/>
      </tp>
      <tp t="s">
        <v/>
        <stp/>
        <stp>*H</stp>
        <stp>AUDCAD a0-fx</stp>
        <stp>Low</stp>
        <stp>D</stp>
        <stp/>
        <stp>226</stp>
        <tr r="D230" s="1"/>
      </tp>
      <tp t="s">
        <v/>
        <stp/>
        <stp>*H</stp>
        <stp>AUDCAD a0-fx</stp>
        <stp>Low</stp>
        <stp>D</stp>
        <stp/>
        <stp>227</stp>
        <tr r="D231" s="1"/>
      </tp>
      <tp t="s">
        <v/>
        <stp/>
        <stp>*H</stp>
        <stp>AUDCAD a0-fx</stp>
        <stp>Low</stp>
        <stp>D</stp>
        <stp/>
        <stp>220</stp>
        <tr r="D224" s="1"/>
      </tp>
      <tp t="s">
        <v/>
        <stp/>
        <stp>*H</stp>
        <stp>AUDCAD a0-fx</stp>
        <stp>Low</stp>
        <stp>D</stp>
        <stp/>
        <stp>221</stp>
        <tr r="D225" s="1"/>
      </tp>
      <tp t="s">
        <v/>
        <stp/>
        <stp>*H</stp>
        <stp>AUDCAD a0-fx</stp>
        <stp>Low</stp>
        <stp>D</stp>
        <stp/>
        <stp>222</stp>
        <tr r="D226" s="1"/>
      </tp>
      <tp t="s">
        <v/>
        <stp/>
        <stp>*H</stp>
        <stp>AUDCAD a0-fx</stp>
        <stp>Low</stp>
        <stp>D</stp>
        <stp/>
        <stp>223</stp>
        <tr r="D227" s="1"/>
      </tp>
      <tp t="s">
        <v/>
        <stp/>
        <stp>*H</stp>
        <stp>AUDCAD a0-fx</stp>
        <stp>Low</stp>
        <stp>D</stp>
        <stp/>
        <stp>228</stp>
        <tr r="D232" s="1"/>
      </tp>
      <tp t="s">
        <v/>
        <stp/>
        <stp>*H</stp>
        <stp>AUDCAD a0-fx</stp>
        <stp>Low</stp>
        <stp>D</stp>
        <stp/>
        <stp>229</stp>
        <tr r="D233" s="1"/>
      </tp>
      <tp t="s">
        <v/>
        <stp/>
        <stp>*H</stp>
        <stp>AUDCAD a0-fx</stp>
        <stp>Low</stp>
        <stp>D</stp>
        <stp/>
        <stp>214</stp>
        <tr r="D218" s="1"/>
      </tp>
      <tp t="s">
        <v/>
        <stp/>
        <stp>*H</stp>
        <stp>AUDCAD a0-fx</stp>
        <stp>Low</stp>
        <stp>D</stp>
        <stp/>
        <stp>215</stp>
        <tr r="D219" s="1"/>
      </tp>
      <tp t="s">
        <v/>
        <stp/>
        <stp>*H</stp>
        <stp>AUDCAD a0-fx</stp>
        <stp>Low</stp>
        <stp>D</stp>
        <stp/>
        <stp>216</stp>
        <tr r="D220" s="1"/>
      </tp>
      <tp t="s">
        <v/>
        <stp/>
        <stp>*H</stp>
        <stp>AUDCAD a0-fx</stp>
        <stp>Low</stp>
        <stp>D</stp>
        <stp/>
        <stp>217</stp>
        <tr r="D221" s="1"/>
      </tp>
      <tp t="s">
        <v/>
        <stp/>
        <stp>*H</stp>
        <stp>AUDCAD a0-fx</stp>
        <stp>Low</stp>
        <stp>D</stp>
        <stp/>
        <stp>210</stp>
        <tr r="D214" s="1"/>
      </tp>
      <tp t="s">
        <v/>
        <stp/>
        <stp>*H</stp>
        <stp>AUDCAD a0-fx</stp>
        <stp>Low</stp>
        <stp>D</stp>
        <stp/>
        <stp>211</stp>
        <tr r="D215" s="1"/>
      </tp>
      <tp t="s">
        <v/>
        <stp/>
        <stp>*H</stp>
        <stp>AUDCAD a0-fx</stp>
        <stp>Low</stp>
        <stp>D</stp>
        <stp/>
        <stp>212</stp>
        <tr r="D216" s="1"/>
      </tp>
      <tp t="s">
        <v/>
        <stp/>
        <stp>*H</stp>
        <stp>AUDCAD a0-fx</stp>
        <stp>Low</stp>
        <stp>D</stp>
        <stp/>
        <stp>213</stp>
        <tr r="D217" s="1"/>
      </tp>
      <tp t="s">
        <v/>
        <stp/>
        <stp>*H</stp>
        <stp>AUDCAD a0-fx</stp>
        <stp>Low</stp>
        <stp>D</stp>
        <stp/>
        <stp>218</stp>
        <tr r="D222" s="1"/>
      </tp>
      <tp t="s">
        <v/>
        <stp/>
        <stp>*H</stp>
        <stp>AUDCAD a0-fx</stp>
        <stp>Low</stp>
        <stp>D</stp>
        <stp/>
        <stp>219</stp>
        <tr r="D223" s="1"/>
      </tp>
      <tp t="s">
        <v/>
        <stp/>
        <stp>*H</stp>
        <stp>AUDCAD a0-fx</stp>
        <stp>Low</stp>
        <stp>D</stp>
        <stp/>
        <stp>204</stp>
        <tr r="D208" s="1"/>
      </tp>
      <tp t="s">
        <v/>
        <stp/>
        <stp>*H</stp>
        <stp>AUDCAD a0-fx</stp>
        <stp>Low</stp>
        <stp>D</stp>
        <stp/>
        <stp>205</stp>
        <tr r="D209" s="1"/>
      </tp>
      <tp t="s">
        <v/>
        <stp/>
        <stp>*H</stp>
        <stp>AUDCAD a0-fx</stp>
        <stp>Low</stp>
        <stp>D</stp>
        <stp/>
        <stp>206</stp>
        <tr r="D210" s="1"/>
      </tp>
      <tp t="s">
        <v/>
        <stp/>
        <stp>*H</stp>
        <stp>AUDCAD a0-fx</stp>
        <stp>Low</stp>
        <stp>D</stp>
        <stp/>
        <stp>207</stp>
        <tr r="D211" s="1"/>
      </tp>
      <tp t="s">
        <v/>
        <stp/>
        <stp>*H</stp>
        <stp>AUDCAD a0-fx</stp>
        <stp>Low</stp>
        <stp>D</stp>
        <stp/>
        <stp>200</stp>
        <tr r="D204" s="1"/>
      </tp>
      <tp t="s">
        <v/>
        <stp/>
        <stp>*H</stp>
        <stp>AUDCAD a0-fx</stp>
        <stp>Low</stp>
        <stp>D</stp>
        <stp/>
        <stp>201</stp>
        <tr r="D205" s="1"/>
      </tp>
      <tp t="s">
        <v/>
        <stp/>
        <stp>*H</stp>
        <stp>AUDCAD a0-fx</stp>
        <stp>Low</stp>
        <stp>D</stp>
        <stp/>
        <stp>202</stp>
        <tr r="D206" s="1"/>
      </tp>
      <tp t="s">
        <v/>
        <stp/>
        <stp>*H</stp>
        <stp>AUDCAD a0-fx</stp>
        <stp>Low</stp>
        <stp>D</stp>
        <stp/>
        <stp>203</stp>
        <tr r="D207" s="1"/>
      </tp>
      <tp t="s">
        <v/>
        <stp/>
        <stp>*H</stp>
        <stp>AUDCAD a0-fx</stp>
        <stp>Low</stp>
        <stp>D</stp>
        <stp/>
        <stp>208</stp>
        <tr r="D212" s="1"/>
      </tp>
      <tp t="s">
        <v/>
        <stp/>
        <stp>*H</stp>
        <stp>AUDCAD a0-fx</stp>
        <stp>Low</stp>
        <stp>D</stp>
        <stp/>
        <stp>209</stp>
        <tr r="D213" s="1"/>
      </tp>
      <tp t="s">
        <v/>
        <stp/>
        <stp>*H</stp>
        <stp>AUDCAD a0-fx</stp>
        <stp>Low</stp>
        <stp>D</stp>
        <stp/>
        <stp>194</stp>
        <tr r="D198" s="1"/>
      </tp>
      <tp t="s">
        <v/>
        <stp/>
        <stp>*H</stp>
        <stp>AUDCAD a0-fx</stp>
        <stp>Low</stp>
        <stp>D</stp>
        <stp/>
        <stp>195</stp>
        <tr r="D199" s="1"/>
      </tp>
      <tp t="s">
        <v/>
        <stp/>
        <stp>*H</stp>
        <stp>AUDCAD a0-fx</stp>
        <stp>Low</stp>
        <stp>D</stp>
        <stp/>
        <stp>196</stp>
        <tr r="D200" s="1"/>
      </tp>
      <tp t="s">
        <v/>
        <stp/>
        <stp>*H</stp>
        <stp>AUDCAD a0-fx</stp>
        <stp>Low</stp>
        <stp>D</stp>
        <stp/>
        <stp>197</stp>
        <tr r="D201" s="1"/>
      </tp>
      <tp t="s">
        <v/>
        <stp/>
        <stp>*H</stp>
        <stp>AUDCAD a0-fx</stp>
        <stp>Low</stp>
        <stp>D</stp>
        <stp/>
        <stp>190</stp>
        <tr r="D194" s="1"/>
      </tp>
      <tp t="s">
        <v/>
        <stp/>
        <stp>*H</stp>
        <stp>AUDCAD a0-fx</stp>
        <stp>Low</stp>
        <stp>D</stp>
        <stp/>
        <stp>191</stp>
        <tr r="D195" s="1"/>
      </tp>
      <tp t="s">
        <v/>
        <stp/>
        <stp>*H</stp>
        <stp>AUDCAD a0-fx</stp>
        <stp>Low</stp>
        <stp>D</stp>
        <stp/>
        <stp>192</stp>
        <tr r="D196" s="1"/>
      </tp>
      <tp t="s">
        <v/>
        <stp/>
        <stp>*H</stp>
        <stp>AUDCAD a0-fx</stp>
        <stp>Low</stp>
        <stp>D</stp>
        <stp/>
        <stp>193</stp>
        <tr r="D197" s="1"/>
      </tp>
      <tp t="s">
        <v/>
        <stp/>
        <stp>*H</stp>
        <stp>AUDCAD a0-fx</stp>
        <stp>Low</stp>
        <stp>D</stp>
        <stp/>
        <stp>198</stp>
        <tr r="D202" s="1"/>
      </tp>
      <tp t="s">
        <v/>
        <stp/>
        <stp>*H</stp>
        <stp>AUDCAD a0-fx</stp>
        <stp>Low</stp>
        <stp>D</stp>
        <stp/>
        <stp>199</stp>
        <tr r="D203" s="1"/>
      </tp>
      <tp t="s">
        <v/>
        <stp/>
        <stp>*H</stp>
        <stp>AUDCAD a0-fx</stp>
        <stp>Low</stp>
        <stp>D</stp>
        <stp/>
        <stp>184</stp>
        <tr r="D188" s="1"/>
      </tp>
      <tp t="s">
        <v/>
        <stp/>
        <stp>*H</stp>
        <stp>AUDCAD a0-fx</stp>
        <stp>Low</stp>
        <stp>D</stp>
        <stp/>
        <stp>185</stp>
        <tr r="D189" s="1"/>
      </tp>
      <tp t="s">
        <v/>
        <stp/>
        <stp>*H</stp>
        <stp>AUDCAD a0-fx</stp>
        <stp>Low</stp>
        <stp>D</stp>
        <stp/>
        <stp>186</stp>
        <tr r="D190" s="1"/>
      </tp>
      <tp t="s">
        <v/>
        <stp/>
        <stp>*H</stp>
        <stp>AUDCAD a0-fx</stp>
        <stp>Low</stp>
        <stp>D</stp>
        <stp/>
        <stp>187</stp>
        <tr r="D191" s="1"/>
      </tp>
      <tp t="s">
        <v/>
        <stp/>
        <stp>*H</stp>
        <stp>AUDCAD a0-fx</stp>
        <stp>Low</stp>
        <stp>D</stp>
        <stp/>
        <stp>180</stp>
        <tr r="D184" s="1"/>
      </tp>
      <tp t="s">
        <v/>
        <stp/>
        <stp>*H</stp>
        <stp>AUDCAD a0-fx</stp>
        <stp>Low</stp>
        <stp>D</stp>
        <stp/>
        <stp>181</stp>
        <tr r="D185" s="1"/>
      </tp>
      <tp t="s">
        <v/>
        <stp/>
        <stp>*H</stp>
        <stp>AUDCAD a0-fx</stp>
        <stp>Low</stp>
        <stp>D</stp>
        <stp/>
        <stp>182</stp>
        <tr r="D186" s="1"/>
      </tp>
      <tp t="s">
        <v/>
        <stp/>
        <stp>*H</stp>
        <stp>AUDCAD a0-fx</stp>
        <stp>Low</stp>
        <stp>D</stp>
        <stp/>
        <stp>183</stp>
        <tr r="D187" s="1"/>
      </tp>
      <tp t="s">
        <v/>
        <stp/>
        <stp>*H</stp>
        <stp>AUDCAD a0-fx</stp>
        <stp>Low</stp>
        <stp>D</stp>
        <stp/>
        <stp>188</stp>
        <tr r="D192" s="1"/>
      </tp>
      <tp t="s">
        <v/>
        <stp/>
        <stp>*H</stp>
        <stp>AUDCAD a0-fx</stp>
        <stp>Low</stp>
        <stp>D</stp>
        <stp/>
        <stp>189</stp>
        <tr r="D193" s="1"/>
      </tp>
      <tp t="s">
        <v/>
        <stp/>
        <stp>*H</stp>
        <stp>AUDCAD a0-fx</stp>
        <stp>Low</stp>
        <stp>D</stp>
        <stp/>
        <stp>174</stp>
        <tr r="D178" s="1"/>
      </tp>
      <tp t="s">
        <v/>
        <stp/>
        <stp>*H</stp>
        <stp>AUDCAD a0-fx</stp>
        <stp>Low</stp>
        <stp>D</stp>
        <stp/>
        <stp>175</stp>
        <tr r="D179" s="1"/>
      </tp>
      <tp t="s">
        <v/>
        <stp/>
        <stp>*H</stp>
        <stp>AUDCAD a0-fx</stp>
        <stp>Low</stp>
        <stp>D</stp>
        <stp/>
        <stp>176</stp>
        <tr r="D180" s="1"/>
      </tp>
      <tp t="s">
        <v/>
        <stp/>
        <stp>*H</stp>
        <stp>AUDCAD a0-fx</stp>
        <stp>Low</stp>
        <stp>D</stp>
        <stp/>
        <stp>177</stp>
        <tr r="D181" s="1"/>
      </tp>
      <tp t="s">
        <v/>
        <stp/>
        <stp>*H</stp>
        <stp>AUDCAD a0-fx</stp>
        <stp>Low</stp>
        <stp>D</stp>
        <stp/>
        <stp>170</stp>
        <tr r="D174" s="1"/>
      </tp>
      <tp t="s">
        <v/>
        <stp/>
        <stp>*H</stp>
        <stp>AUDCAD a0-fx</stp>
        <stp>Low</stp>
        <stp>D</stp>
        <stp/>
        <stp>171</stp>
        <tr r="D175" s="1"/>
      </tp>
      <tp t="s">
        <v/>
        <stp/>
        <stp>*H</stp>
        <stp>AUDCAD a0-fx</stp>
        <stp>Low</stp>
        <stp>D</stp>
        <stp/>
        <stp>172</stp>
        <tr r="D176" s="1"/>
      </tp>
      <tp t="s">
        <v/>
        <stp/>
        <stp>*H</stp>
        <stp>AUDCAD a0-fx</stp>
        <stp>Low</stp>
        <stp>D</stp>
        <stp/>
        <stp>173</stp>
        <tr r="D177" s="1"/>
      </tp>
      <tp t="s">
        <v/>
        <stp/>
        <stp>*H</stp>
        <stp>AUDCAD a0-fx</stp>
        <stp>Low</stp>
        <stp>D</stp>
        <stp/>
        <stp>178</stp>
        <tr r="D182" s="1"/>
      </tp>
      <tp t="s">
        <v/>
        <stp/>
        <stp>*H</stp>
        <stp>AUDCAD a0-fx</stp>
        <stp>Low</stp>
        <stp>D</stp>
        <stp/>
        <stp>179</stp>
        <tr r="D183" s="1"/>
      </tp>
      <tp t="s">
        <v/>
        <stp/>
        <stp>*H</stp>
        <stp>AUDCAD a0-fx</stp>
        <stp>Low</stp>
        <stp>D</stp>
        <stp/>
        <stp>164</stp>
        <tr r="D168" s="1"/>
      </tp>
      <tp t="s">
        <v/>
        <stp/>
        <stp>*H</stp>
        <stp>AUDCAD a0-fx</stp>
        <stp>Low</stp>
        <stp>D</stp>
        <stp/>
        <stp>165</stp>
        <tr r="D169" s="1"/>
      </tp>
      <tp t="s">
        <v/>
        <stp/>
        <stp>*H</stp>
        <stp>AUDCAD a0-fx</stp>
        <stp>Low</stp>
        <stp>D</stp>
        <stp/>
        <stp>166</stp>
        <tr r="D170" s="1"/>
      </tp>
      <tp t="s">
        <v/>
        <stp/>
        <stp>*H</stp>
        <stp>AUDCAD a0-fx</stp>
        <stp>Low</stp>
        <stp>D</stp>
        <stp/>
        <stp>167</stp>
        <tr r="D171" s="1"/>
      </tp>
      <tp t="s">
        <v/>
        <stp/>
        <stp>*H</stp>
        <stp>AUDCAD a0-fx</stp>
        <stp>Low</stp>
        <stp>D</stp>
        <stp/>
        <stp>160</stp>
        <tr r="D164" s="1"/>
      </tp>
      <tp t="s">
        <v/>
        <stp/>
        <stp>*H</stp>
        <stp>AUDCAD a0-fx</stp>
        <stp>Low</stp>
        <stp>D</stp>
        <stp/>
        <stp>161</stp>
        <tr r="D165" s="1"/>
      </tp>
      <tp t="s">
        <v/>
        <stp/>
        <stp>*H</stp>
        <stp>AUDCAD a0-fx</stp>
        <stp>Low</stp>
        <stp>D</stp>
        <stp/>
        <stp>162</stp>
        <tr r="D166" s="1"/>
      </tp>
      <tp t="s">
        <v/>
        <stp/>
        <stp>*H</stp>
        <stp>AUDCAD a0-fx</stp>
        <stp>Low</stp>
        <stp>D</stp>
        <stp/>
        <stp>163</stp>
        <tr r="D167" s="1"/>
      </tp>
      <tp t="s">
        <v/>
        <stp/>
        <stp>*H</stp>
        <stp>AUDCAD a0-fx</stp>
        <stp>Low</stp>
        <stp>D</stp>
        <stp/>
        <stp>168</stp>
        <tr r="D172" s="1"/>
      </tp>
      <tp t="s">
        <v/>
        <stp/>
        <stp>*H</stp>
        <stp>AUDCAD a0-fx</stp>
        <stp>Low</stp>
        <stp>D</stp>
        <stp/>
        <stp>169</stp>
        <tr r="D173" s="1"/>
      </tp>
      <tp t="s">
        <v/>
        <stp/>
        <stp>*H</stp>
        <stp>AUDCAD a0-fx</stp>
        <stp>Low</stp>
        <stp>D</stp>
        <stp/>
        <stp>154</stp>
        <tr r="D158" s="1"/>
      </tp>
      <tp t="s">
        <v/>
        <stp/>
        <stp>*H</stp>
        <stp>AUDCAD a0-fx</stp>
        <stp>Low</stp>
        <stp>D</stp>
        <stp/>
        <stp>155</stp>
        <tr r="D159" s="1"/>
      </tp>
      <tp t="s">
        <v/>
        <stp/>
        <stp>*H</stp>
        <stp>AUDCAD a0-fx</stp>
        <stp>Low</stp>
        <stp>D</stp>
        <stp/>
        <stp>156</stp>
        <tr r="D160" s="1"/>
      </tp>
      <tp t="s">
        <v/>
        <stp/>
        <stp>*H</stp>
        <stp>AUDCAD a0-fx</stp>
        <stp>Low</stp>
        <stp>D</stp>
        <stp/>
        <stp>157</stp>
        <tr r="D161" s="1"/>
      </tp>
      <tp t="s">
        <v/>
        <stp/>
        <stp>*H</stp>
        <stp>AUDCAD a0-fx</stp>
        <stp>Low</stp>
        <stp>D</stp>
        <stp/>
        <stp>150</stp>
        <tr r="D154" s="1"/>
      </tp>
      <tp t="s">
        <v/>
        <stp/>
        <stp>*H</stp>
        <stp>AUDCAD a0-fx</stp>
        <stp>Low</stp>
        <stp>D</stp>
        <stp/>
        <stp>151</stp>
        <tr r="D155" s="1"/>
      </tp>
      <tp t="s">
        <v/>
        <stp/>
        <stp>*H</stp>
        <stp>AUDCAD a0-fx</stp>
        <stp>Low</stp>
        <stp>D</stp>
        <stp/>
        <stp>152</stp>
        <tr r="D156" s="1"/>
      </tp>
      <tp t="s">
        <v/>
        <stp/>
        <stp>*H</stp>
        <stp>AUDCAD a0-fx</stp>
        <stp>Low</stp>
        <stp>D</stp>
        <stp/>
        <stp>153</stp>
        <tr r="D157" s="1"/>
      </tp>
      <tp t="s">
        <v/>
        <stp/>
        <stp>*H</stp>
        <stp>AUDCAD a0-fx</stp>
        <stp>Low</stp>
        <stp>D</stp>
        <stp/>
        <stp>158</stp>
        <tr r="D162" s="1"/>
      </tp>
      <tp t="s">
        <v/>
        <stp/>
        <stp>*H</stp>
        <stp>AUDCAD a0-fx</stp>
        <stp>Low</stp>
        <stp>D</stp>
        <stp/>
        <stp>159</stp>
        <tr r="D163" s="1"/>
      </tp>
      <tp t="s">
        <v/>
        <stp/>
        <stp>*H</stp>
        <stp>AUDCAD a0-fx</stp>
        <stp>Low</stp>
        <stp>D</stp>
        <stp/>
        <stp>144</stp>
        <tr r="D148" s="1"/>
      </tp>
      <tp t="s">
        <v/>
        <stp/>
        <stp>*H</stp>
        <stp>AUDCAD a0-fx</stp>
        <stp>Low</stp>
        <stp>D</stp>
        <stp/>
        <stp>145</stp>
        <tr r="D149" s="1"/>
      </tp>
      <tp t="s">
        <v/>
        <stp/>
        <stp>*H</stp>
        <stp>AUDCAD a0-fx</stp>
        <stp>Low</stp>
        <stp>D</stp>
        <stp/>
        <stp>146</stp>
        <tr r="D150" s="1"/>
      </tp>
      <tp t="s">
        <v/>
        <stp/>
        <stp>*H</stp>
        <stp>AUDCAD a0-fx</stp>
        <stp>Low</stp>
        <stp>D</stp>
        <stp/>
        <stp>147</stp>
        <tr r="D151" s="1"/>
      </tp>
      <tp t="s">
        <v/>
        <stp/>
        <stp>*H</stp>
        <stp>AUDCAD a0-fx</stp>
        <stp>Low</stp>
        <stp>D</stp>
        <stp/>
        <stp>140</stp>
        <tr r="D144" s="1"/>
      </tp>
      <tp t="s">
        <v/>
        <stp/>
        <stp>*H</stp>
        <stp>AUDCAD a0-fx</stp>
        <stp>Low</stp>
        <stp>D</stp>
        <stp/>
        <stp>141</stp>
        <tr r="D145" s="1"/>
      </tp>
      <tp t="s">
        <v/>
        <stp/>
        <stp>*H</stp>
        <stp>AUDCAD a0-fx</stp>
        <stp>Low</stp>
        <stp>D</stp>
        <stp/>
        <stp>142</stp>
        <tr r="D146" s="1"/>
      </tp>
      <tp t="s">
        <v/>
        <stp/>
        <stp>*H</stp>
        <stp>AUDCAD a0-fx</stp>
        <stp>Low</stp>
        <stp>D</stp>
        <stp/>
        <stp>143</stp>
        <tr r="D147" s="1"/>
      </tp>
      <tp t="s">
        <v/>
        <stp/>
        <stp>*H</stp>
        <stp>AUDCAD a0-fx</stp>
        <stp>Low</stp>
        <stp>D</stp>
        <stp/>
        <stp>148</stp>
        <tr r="D152" s="1"/>
      </tp>
      <tp t="s">
        <v/>
        <stp/>
        <stp>*H</stp>
        <stp>AUDCAD a0-fx</stp>
        <stp>Low</stp>
        <stp>D</stp>
        <stp/>
        <stp>149</stp>
        <tr r="D153" s="1"/>
      </tp>
      <tp t="s">
        <v/>
        <stp/>
        <stp>*H</stp>
        <stp>AUDCAD a0-fx</stp>
        <stp>Low</stp>
        <stp>D</stp>
        <stp/>
        <stp>134</stp>
        <tr r="D138" s="1"/>
      </tp>
      <tp t="s">
        <v/>
        <stp/>
        <stp>*H</stp>
        <stp>AUDCAD a0-fx</stp>
        <stp>Low</stp>
        <stp>D</stp>
        <stp/>
        <stp>135</stp>
        <tr r="D139" s="1"/>
      </tp>
      <tp t="s">
        <v/>
        <stp/>
        <stp>*H</stp>
        <stp>AUDCAD a0-fx</stp>
        <stp>Low</stp>
        <stp>D</stp>
        <stp/>
        <stp>136</stp>
        <tr r="D140" s="1"/>
      </tp>
      <tp t="s">
        <v/>
        <stp/>
        <stp>*H</stp>
        <stp>AUDCAD a0-fx</stp>
        <stp>Low</stp>
        <stp>D</stp>
        <stp/>
        <stp>137</stp>
        <tr r="D141" s="1"/>
      </tp>
      <tp t="s">
        <v/>
        <stp/>
        <stp>*H</stp>
        <stp>AUDCAD a0-fx</stp>
        <stp>Low</stp>
        <stp>D</stp>
        <stp/>
        <stp>130</stp>
        <tr r="D134" s="1"/>
      </tp>
      <tp t="s">
        <v/>
        <stp/>
        <stp>*H</stp>
        <stp>AUDCAD a0-fx</stp>
        <stp>Low</stp>
        <stp>D</stp>
        <stp/>
        <stp>131</stp>
        <tr r="D135" s="1"/>
      </tp>
      <tp t="s">
        <v/>
        <stp/>
        <stp>*H</stp>
        <stp>AUDCAD a0-fx</stp>
        <stp>Low</stp>
        <stp>D</stp>
        <stp/>
        <stp>132</stp>
        <tr r="D136" s="1"/>
      </tp>
      <tp t="s">
        <v/>
        <stp/>
        <stp>*H</stp>
        <stp>AUDCAD a0-fx</stp>
        <stp>Low</stp>
        <stp>D</stp>
        <stp/>
        <stp>133</stp>
        <tr r="D137" s="1"/>
      </tp>
      <tp t="s">
        <v/>
        <stp/>
        <stp>*H</stp>
        <stp>AUDCAD a0-fx</stp>
        <stp>Low</stp>
        <stp>D</stp>
        <stp/>
        <stp>138</stp>
        <tr r="D142" s="1"/>
      </tp>
      <tp t="s">
        <v/>
        <stp/>
        <stp>*H</stp>
        <stp>AUDCAD a0-fx</stp>
        <stp>Low</stp>
        <stp>D</stp>
        <stp/>
        <stp>139</stp>
        <tr r="D143" s="1"/>
      </tp>
      <tp t="s">
        <v/>
        <stp/>
        <stp>*H</stp>
        <stp>AUDCAD a0-fx</stp>
        <stp>Low</stp>
        <stp>D</stp>
        <stp/>
        <stp>124</stp>
        <tr r="D128" s="1"/>
      </tp>
      <tp t="s">
        <v/>
        <stp/>
        <stp>*H</stp>
        <stp>AUDCAD a0-fx</stp>
        <stp>Low</stp>
        <stp>D</stp>
        <stp/>
        <stp>125</stp>
        <tr r="D129" s="1"/>
      </tp>
      <tp t="s">
        <v/>
        <stp/>
        <stp>*H</stp>
        <stp>AUDCAD a0-fx</stp>
        <stp>Low</stp>
        <stp>D</stp>
        <stp/>
        <stp>126</stp>
        <tr r="D130" s="1"/>
      </tp>
      <tp t="s">
        <v/>
        <stp/>
        <stp>*H</stp>
        <stp>AUDCAD a0-fx</stp>
        <stp>Low</stp>
        <stp>D</stp>
        <stp/>
        <stp>127</stp>
        <tr r="D131" s="1"/>
      </tp>
      <tp t="s">
        <v/>
        <stp/>
        <stp>*H</stp>
        <stp>AUDCAD a0-fx</stp>
        <stp>Low</stp>
        <stp>D</stp>
        <stp/>
        <stp>120</stp>
        <tr r="D124" s="1"/>
      </tp>
      <tp t="s">
        <v/>
        <stp/>
        <stp>*H</stp>
        <stp>AUDCAD a0-fx</stp>
        <stp>Low</stp>
        <stp>D</stp>
        <stp/>
        <stp>121</stp>
        <tr r="D125" s="1"/>
      </tp>
      <tp t="s">
        <v/>
        <stp/>
        <stp>*H</stp>
        <stp>AUDCAD a0-fx</stp>
        <stp>Low</stp>
        <stp>D</stp>
        <stp/>
        <stp>122</stp>
        <tr r="D126" s="1"/>
      </tp>
      <tp t="s">
        <v/>
        <stp/>
        <stp>*H</stp>
        <stp>AUDCAD a0-fx</stp>
        <stp>Low</stp>
        <stp>D</stp>
        <stp/>
        <stp>123</stp>
        <tr r="D127" s="1"/>
      </tp>
      <tp t="s">
        <v/>
        <stp/>
        <stp>*H</stp>
        <stp>AUDCAD a0-fx</stp>
        <stp>Low</stp>
        <stp>D</stp>
        <stp/>
        <stp>128</stp>
        <tr r="D132" s="1"/>
      </tp>
      <tp t="s">
        <v/>
        <stp/>
        <stp>*H</stp>
        <stp>AUDCAD a0-fx</stp>
        <stp>Low</stp>
        <stp>D</stp>
        <stp/>
        <stp>129</stp>
        <tr r="D133" s="1"/>
      </tp>
      <tp t="s">
        <v/>
        <stp/>
        <stp>*H</stp>
        <stp>AUDCAD a0-fx</stp>
        <stp>Low</stp>
        <stp>D</stp>
        <stp/>
        <stp>114</stp>
        <tr r="D118" s="1"/>
      </tp>
      <tp t="s">
        <v/>
        <stp/>
        <stp>*H</stp>
        <stp>AUDCAD a0-fx</stp>
        <stp>Low</stp>
        <stp>D</stp>
        <stp/>
        <stp>115</stp>
        <tr r="D119" s="1"/>
      </tp>
      <tp t="s">
        <v/>
        <stp/>
        <stp>*H</stp>
        <stp>AUDCAD a0-fx</stp>
        <stp>Low</stp>
        <stp>D</stp>
        <stp/>
        <stp>116</stp>
        <tr r="D120" s="1"/>
      </tp>
      <tp t="s">
        <v/>
        <stp/>
        <stp>*H</stp>
        <stp>AUDCAD a0-fx</stp>
        <stp>Low</stp>
        <stp>D</stp>
        <stp/>
        <stp>117</stp>
        <tr r="D121" s="1"/>
      </tp>
      <tp t="s">
        <v/>
        <stp/>
        <stp>*H</stp>
        <stp>AUDCAD a0-fx</stp>
        <stp>Low</stp>
        <stp>D</stp>
        <stp/>
        <stp>110</stp>
        <tr r="D114" s="1"/>
      </tp>
      <tp t="s">
        <v/>
        <stp/>
        <stp>*H</stp>
        <stp>AUDCAD a0-fx</stp>
        <stp>Low</stp>
        <stp>D</stp>
        <stp/>
        <stp>111</stp>
        <tr r="D115" s="1"/>
      </tp>
      <tp t="s">
        <v/>
        <stp/>
        <stp>*H</stp>
        <stp>AUDCAD a0-fx</stp>
        <stp>Low</stp>
        <stp>D</stp>
        <stp/>
        <stp>112</stp>
        <tr r="D116" s="1"/>
      </tp>
      <tp t="s">
        <v/>
        <stp/>
        <stp>*H</stp>
        <stp>AUDCAD a0-fx</stp>
        <stp>Low</stp>
        <stp>D</stp>
        <stp/>
        <stp>113</stp>
        <tr r="D117" s="1"/>
      </tp>
      <tp t="s">
        <v/>
        <stp/>
        <stp>*H</stp>
        <stp>AUDCAD a0-fx</stp>
        <stp>Low</stp>
        <stp>D</stp>
        <stp/>
        <stp>118</stp>
        <tr r="D122" s="1"/>
      </tp>
      <tp t="s">
        <v/>
        <stp/>
        <stp>*H</stp>
        <stp>AUDCAD a0-fx</stp>
        <stp>Low</stp>
        <stp>D</stp>
        <stp/>
        <stp>119</stp>
        <tr r="D123" s="1"/>
      </tp>
      <tp t="s">
        <v/>
        <stp/>
        <stp>*H</stp>
        <stp>AUDCAD a0-fx</stp>
        <stp>Low</stp>
        <stp>D</stp>
        <stp/>
        <stp>104</stp>
        <tr r="D108" s="1"/>
      </tp>
      <tp t="s">
        <v/>
        <stp/>
        <stp>*H</stp>
        <stp>AUDCAD a0-fx</stp>
        <stp>Low</stp>
        <stp>D</stp>
        <stp/>
        <stp>105</stp>
        <tr r="D109" s="1"/>
      </tp>
      <tp t="s">
        <v/>
        <stp/>
        <stp>*H</stp>
        <stp>AUDCAD a0-fx</stp>
        <stp>Low</stp>
        <stp>D</stp>
        <stp/>
        <stp>106</stp>
        <tr r="D110" s="1"/>
      </tp>
      <tp t="s">
        <v/>
        <stp/>
        <stp>*H</stp>
        <stp>AUDCAD a0-fx</stp>
        <stp>Low</stp>
        <stp>D</stp>
        <stp/>
        <stp>107</stp>
        <tr r="D111" s="1"/>
      </tp>
      <tp t="s">
        <v/>
        <stp/>
        <stp>*H</stp>
        <stp>AUDCAD a0-fx</stp>
        <stp>Low</stp>
        <stp>D</stp>
        <stp/>
        <stp>100</stp>
        <tr r="D104" s="1"/>
      </tp>
      <tp t="s">
        <v/>
        <stp/>
        <stp>*H</stp>
        <stp>AUDCAD a0-fx</stp>
        <stp>Low</stp>
        <stp>D</stp>
        <stp/>
        <stp>101</stp>
        <tr r="D105" s="1"/>
      </tp>
      <tp t="s">
        <v/>
        <stp/>
        <stp>*H</stp>
        <stp>AUDCAD a0-fx</stp>
        <stp>Low</stp>
        <stp>D</stp>
        <stp/>
        <stp>102</stp>
        <tr r="D106" s="1"/>
      </tp>
      <tp t="s">
        <v/>
        <stp/>
        <stp>*H</stp>
        <stp>AUDCAD a0-fx</stp>
        <stp>Low</stp>
        <stp>D</stp>
        <stp/>
        <stp>103</stp>
        <tr r="D107" s="1"/>
      </tp>
      <tp t="s">
        <v/>
        <stp/>
        <stp>*H</stp>
        <stp>AUDCAD a0-fx</stp>
        <stp>Low</stp>
        <stp>D</stp>
        <stp/>
        <stp>108</stp>
        <tr r="D112" s="1"/>
      </tp>
      <tp t="s">
        <v/>
        <stp/>
        <stp>*H</stp>
        <stp>AUDCAD a0-fx</stp>
        <stp>Low</stp>
        <stp>D</stp>
        <stp/>
        <stp>109</stp>
        <tr r="D113" s="1"/>
      </tp>
      <tp t="s">
        <v/>
        <stp/>
        <stp>AUDCAD a0-fx</stp>
        <stp>BarTime</stp>
        <stp>D</stp>
        <stp/>
        <stp>1</stp>
        <tr r="A5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8"/>
  <sheetViews>
    <sheetView tabSelected="1" workbookViewId="0">
      <selection activeCell="A5" sqref="A5"/>
    </sheetView>
  </sheetViews>
  <sheetFormatPr defaultRowHeight="15" x14ac:dyDescent="0.25"/>
  <cols>
    <col min="1" max="1" width="16" customWidth="1"/>
  </cols>
  <sheetData>
    <row r="1" spans="1:5" x14ac:dyDescent="0.25">
      <c r="A1" s="1" t="s">
        <v>5</v>
      </c>
      <c r="B1" s="2"/>
      <c r="C1" s="2"/>
      <c r="D1" s="2"/>
      <c r="E1" s="2"/>
    </row>
    <row r="2" spans="1:5" ht="15.75" thickBot="1" x14ac:dyDescent="0.3">
      <c r="A2" s="3"/>
      <c r="B2" s="4"/>
      <c r="C2" s="5"/>
      <c r="D2" s="5"/>
      <c r="E2" s="6"/>
    </row>
    <row r="3" spans="1:5" ht="15.75" thickBot="1" x14ac:dyDescent="0.3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</row>
    <row r="4" spans="1:5" x14ac:dyDescent="0.25">
      <c r="A4" s="9" t="str">
        <f>RTD("esrtd",,"*H",$A$1,"BarTime","D",,"0")</f>
        <v/>
      </c>
      <c r="B4" s="10" t="str">
        <f>RTD("esrtd",,"*H",$A$1,"Open","D",,"0")</f>
        <v/>
      </c>
      <c r="C4" s="10" t="str">
        <f>RTD("esrtd",,"*H",$A$1,"High","D",,"0")</f>
        <v/>
      </c>
      <c r="D4" s="10" t="str">
        <f>RTD("esrtd",,"*H",$A$1,"Low","D",,"0")</f>
        <v/>
      </c>
      <c r="E4" s="10" t="str">
        <f>RTD("esrtd",,"*H",$A$1,"Last","D",,"0")</f>
        <v/>
      </c>
    </row>
    <row r="5" spans="1:5" x14ac:dyDescent="0.25">
      <c r="A5" s="9" t="str">
        <f>RTD("esrtd",,"AUDCAD a0-fx","BarTime","D",,"1")</f>
        <v/>
      </c>
      <c r="B5" s="10" t="str">
        <f>RTD("esrtd",,"*H",$A$1,"Open","D",,"1")</f>
        <v/>
      </c>
      <c r="C5" s="10" t="str">
        <f>RTD("esrtd",,"*H",$A$1,"High","D",,"1")</f>
        <v/>
      </c>
      <c r="D5" s="10" t="str">
        <f>RTD("esrtd",,"*H",$A$1,"Low","D",,"1")</f>
        <v/>
      </c>
      <c r="E5" s="10" t="str">
        <f>RTD("esrtd",,"*H",$A$1,"Last","D",,"1")</f>
        <v/>
      </c>
    </row>
    <row r="6" spans="1:5" x14ac:dyDescent="0.25">
      <c r="A6" s="9" t="str">
        <f>RTD("esrtd",,"*H",$A$1,"BarTime","D",,"2")</f>
        <v/>
      </c>
      <c r="B6" s="10" t="str">
        <f>RTD("esrtd",,"*H",$A$1,"Open","D",,"2")</f>
        <v/>
      </c>
      <c r="C6" s="10" t="str">
        <f>RTD("esrtd",,"*H",$A$1,"High","D",,"2")</f>
        <v/>
      </c>
      <c r="D6" s="10" t="str">
        <f>RTD("esrtd",,"*H",$A$1,"Low","D",,"2")</f>
        <v/>
      </c>
      <c r="E6" s="10" t="str">
        <f>RTD("esrtd",,"*H",$A$1,"Last","D",,"2")</f>
        <v/>
      </c>
    </row>
    <row r="7" spans="1:5" x14ac:dyDescent="0.25">
      <c r="A7" s="9" t="str">
        <f>RTD("esrtd",,"*H",$A$1,"BarTime","D",,"3")</f>
        <v/>
      </c>
      <c r="B7" s="10" t="str">
        <f>RTD("esrtd",,"*H",$A$1,"Open","D",,"3")</f>
        <v/>
      </c>
      <c r="C7" s="10" t="str">
        <f>RTD("esrtd",,"*H",$A$1,"High","D",,"3")</f>
        <v/>
      </c>
      <c r="D7" s="10" t="str">
        <f>RTD("esrtd",,"*H",$A$1,"Low","D",,"3")</f>
        <v/>
      </c>
      <c r="E7" s="10" t="str">
        <f>RTD("esrtd",,"*H",$A$1,"Last","D",,"3")</f>
        <v/>
      </c>
    </row>
    <row r="8" spans="1:5" x14ac:dyDescent="0.25">
      <c r="A8" s="9" t="str">
        <f>RTD("esrtd",,"*H",$A$1,"BarTime","D",,"4")</f>
        <v/>
      </c>
      <c r="B8" s="10" t="str">
        <f>RTD("esrtd",,"*H",$A$1,"Open","D",,"4")</f>
        <v/>
      </c>
      <c r="C8" s="10" t="str">
        <f>RTD("esrtd",,"*H",$A$1,"High","D",,"4")</f>
        <v/>
      </c>
      <c r="D8" s="10" t="str">
        <f>RTD("esrtd",,"*H",$A$1,"Low","D",,"4")</f>
        <v/>
      </c>
      <c r="E8" s="10" t="str">
        <f>RTD("esrtd",,"*H",$A$1,"Last","D",,"4")</f>
        <v/>
      </c>
    </row>
    <row r="9" spans="1:5" x14ac:dyDescent="0.25">
      <c r="A9" s="9" t="str">
        <f>RTD("esrtd",,"*H",$A$1,"BarTime","D",,"5")</f>
        <v/>
      </c>
      <c r="B9" s="10" t="str">
        <f>RTD("esrtd",,"*H",$A$1,"Open","D",,"5")</f>
        <v/>
      </c>
      <c r="C9" s="10" t="str">
        <f>RTD("esrtd",,"*H",$A$1,"High","D",,"5")</f>
        <v/>
      </c>
      <c r="D9" s="10" t="str">
        <f>RTD("esrtd",,"*H",$A$1,"Low","D",,"5")</f>
        <v/>
      </c>
      <c r="E9" s="10" t="str">
        <f>RTD("esrtd",,"*H",$A$1,"Last","D",,"5")</f>
        <v/>
      </c>
    </row>
    <row r="10" spans="1:5" x14ac:dyDescent="0.25">
      <c r="A10" s="9" t="str">
        <f>RTD("esrtd",,"*H",$A$1,"BarTime","D",,"6")</f>
        <v/>
      </c>
      <c r="B10" s="10" t="str">
        <f>RTD("esrtd",,"*H",$A$1,"Open","D",,"6")</f>
        <v/>
      </c>
      <c r="C10" s="10" t="str">
        <f>RTD("esrtd",,"*H",$A$1,"High","D",,"6")</f>
        <v/>
      </c>
      <c r="D10" s="10" t="str">
        <f>RTD("esrtd",,"*H",$A$1,"Low","D",,"6")</f>
        <v/>
      </c>
      <c r="E10" s="10" t="str">
        <f>RTD("esrtd",,"*H",$A$1,"Last","D",,"6")</f>
        <v/>
      </c>
    </row>
    <row r="11" spans="1:5" x14ac:dyDescent="0.25">
      <c r="A11" s="9" t="str">
        <f>RTD("esrtd",,"*H",$A$1,"BarTime","D",,"7")</f>
        <v/>
      </c>
      <c r="B11" s="10" t="str">
        <f>RTD("esrtd",,"*H",$A$1,"Open","D",,"7")</f>
        <v/>
      </c>
      <c r="C11" s="10" t="str">
        <f>RTD("esrtd",,"*H",$A$1,"High","D",,"7")</f>
        <v/>
      </c>
      <c r="D11" s="10" t="str">
        <f>RTD("esrtd",,"*H",$A$1,"Low","D",,"7")</f>
        <v/>
      </c>
      <c r="E11" s="10" t="str">
        <f>RTD("esrtd",,"*H",$A$1,"Last","D",,"7")</f>
        <v/>
      </c>
    </row>
    <row r="12" spans="1:5" x14ac:dyDescent="0.25">
      <c r="A12" s="9" t="str">
        <f>RTD("esrtd",,"*H",$A$1,"BarTime","D",,"8")</f>
        <v/>
      </c>
      <c r="B12" s="10" t="str">
        <f>RTD("esrtd",,"*H",$A$1,"Open","D",,"8")</f>
        <v/>
      </c>
      <c r="C12" s="10" t="str">
        <f>RTD("esrtd",,"*H",$A$1,"High","D",,"8")</f>
        <v/>
      </c>
      <c r="D12" s="10" t="str">
        <f>RTD("esrtd",,"*H",$A$1,"Low","D",,"8")</f>
        <v/>
      </c>
      <c r="E12" s="10" t="str">
        <f>RTD("esrtd",,"*H",$A$1,"Last","D",,"8")</f>
        <v/>
      </c>
    </row>
    <row r="13" spans="1:5" x14ac:dyDescent="0.25">
      <c r="A13" s="9" t="str">
        <f>RTD("esrtd",,"*H",$A$1,"BarTime","D",,"9")</f>
        <v/>
      </c>
      <c r="B13" s="10" t="str">
        <f>RTD("esrtd",,"*H",$A$1,"Open","D",,"9")</f>
        <v/>
      </c>
      <c r="C13" s="10" t="str">
        <f>RTD("esrtd",,"*H",$A$1,"High","D",,"9")</f>
        <v/>
      </c>
      <c r="D13" s="10" t="str">
        <f>RTD("esrtd",,"*H",$A$1,"Low","D",,"9")</f>
        <v/>
      </c>
      <c r="E13" s="10" t="str">
        <f>RTD("esrtd",,"*H",$A$1,"Last","D",,"9")</f>
        <v/>
      </c>
    </row>
    <row r="14" spans="1:5" x14ac:dyDescent="0.25">
      <c r="A14" s="9" t="str">
        <f>RTD("esrtd",,"*H",$A$1,"BarTime","D",,"10")</f>
        <v/>
      </c>
      <c r="B14" s="10" t="str">
        <f>RTD("esrtd",,"*H",$A$1,"Open","D",,"10")</f>
        <v/>
      </c>
      <c r="C14" s="10" t="str">
        <f>RTD("esrtd",,"*H",$A$1,"High","D",,"10")</f>
        <v/>
      </c>
      <c r="D14" s="10" t="str">
        <f>RTD("esrtd",,"*H",$A$1,"Low","D",,"10")</f>
        <v/>
      </c>
      <c r="E14" s="10" t="str">
        <f>RTD("esrtd",,"*H",$A$1,"Last","D",,"10")</f>
        <v/>
      </c>
    </row>
    <row r="15" spans="1:5" x14ac:dyDescent="0.25">
      <c r="A15" s="9" t="str">
        <f>RTD("esrtd",,"*H",$A$1,"BarTime","D",,"11")</f>
        <v/>
      </c>
      <c r="B15" s="10" t="str">
        <f>RTD("esrtd",,"*H",$A$1,"Open","D",,"11")</f>
        <v/>
      </c>
      <c r="C15" s="10" t="str">
        <f>RTD("esrtd",,"*H",$A$1,"High","D",,"11")</f>
        <v/>
      </c>
      <c r="D15" s="10" t="str">
        <f>RTD("esrtd",,"*H",$A$1,"Low","D",,"11")</f>
        <v/>
      </c>
      <c r="E15" s="10" t="str">
        <f>RTD("esrtd",,"*H",$A$1,"Last","D",,"11")</f>
        <v/>
      </c>
    </row>
    <row r="16" spans="1:5" x14ac:dyDescent="0.25">
      <c r="A16" s="9" t="str">
        <f>RTD("esrtd",,"*H",$A$1,"BarTime","D",,"12")</f>
        <v/>
      </c>
      <c r="B16" s="10" t="str">
        <f>RTD("esrtd",,"*H",$A$1,"Open","D",,"12")</f>
        <v/>
      </c>
      <c r="C16" s="10" t="str">
        <f>RTD("esrtd",,"*H",$A$1,"High","D",,"12")</f>
        <v/>
      </c>
      <c r="D16" s="10" t="str">
        <f>RTD("esrtd",,"*H",$A$1,"Low","D",,"12")</f>
        <v/>
      </c>
      <c r="E16" s="10" t="str">
        <f>RTD("esrtd",,"*H",$A$1,"Last","D",,"12")</f>
        <v/>
      </c>
    </row>
    <row r="17" spans="1:5" x14ac:dyDescent="0.25">
      <c r="A17" s="9" t="str">
        <f>RTD("esrtd",,"*H",$A$1,"BarTime","D",,"13")</f>
        <v/>
      </c>
      <c r="B17" s="10" t="str">
        <f>RTD("esrtd",,"*H",$A$1,"Open","D",,"13")</f>
        <v/>
      </c>
      <c r="C17" s="10" t="str">
        <f>RTD("esrtd",,"*H",$A$1,"High","D",,"13")</f>
        <v/>
      </c>
      <c r="D17" s="10" t="str">
        <f>RTD("esrtd",,"*H",$A$1,"Low","D",,"13")</f>
        <v/>
      </c>
      <c r="E17" s="10" t="str">
        <f>RTD("esrtd",,"*H",$A$1,"Last","D",,"13")</f>
        <v/>
      </c>
    </row>
    <row r="18" spans="1:5" x14ac:dyDescent="0.25">
      <c r="A18" s="9" t="str">
        <f>RTD("esrtd",,"*H",$A$1,"BarTime","D",,"14")</f>
        <v/>
      </c>
      <c r="B18" s="10" t="str">
        <f>RTD("esrtd",,"*H",$A$1,"Open","D",,"14")</f>
        <v/>
      </c>
      <c r="C18" s="10" t="str">
        <f>RTD("esrtd",,"*H",$A$1,"High","D",,"14")</f>
        <v/>
      </c>
      <c r="D18" s="10" t="str">
        <f>RTD("esrtd",,"*H",$A$1,"Low","D",,"14")</f>
        <v/>
      </c>
      <c r="E18" s="10" t="str">
        <f>RTD("esrtd",,"*H",$A$1,"Last","D",,"14")</f>
        <v/>
      </c>
    </row>
    <row r="19" spans="1:5" x14ac:dyDescent="0.25">
      <c r="A19" s="9" t="str">
        <f>RTD("esrtd",,"*H",$A$1,"BarTime","D",,"15")</f>
        <v/>
      </c>
      <c r="B19" s="10" t="str">
        <f>RTD("esrtd",,"*H",$A$1,"Open","D",,"15")</f>
        <v/>
      </c>
      <c r="C19" s="10" t="str">
        <f>RTD("esrtd",,"*H",$A$1,"High","D",,"15")</f>
        <v/>
      </c>
      <c r="D19" s="10" t="str">
        <f>RTD("esrtd",,"*H",$A$1,"Low","D",,"15")</f>
        <v/>
      </c>
      <c r="E19" s="10" t="str">
        <f>RTD("esrtd",,"*H",$A$1,"Last","D",,"15")</f>
        <v/>
      </c>
    </row>
    <row r="20" spans="1:5" x14ac:dyDescent="0.25">
      <c r="A20" s="9" t="str">
        <f>RTD("esrtd",,"*H",$A$1,"BarTime","D",,"16")</f>
        <v/>
      </c>
      <c r="B20" s="10" t="str">
        <f>RTD("esrtd",,"*H",$A$1,"Open","D",,"16")</f>
        <v/>
      </c>
      <c r="C20" s="10" t="str">
        <f>RTD("esrtd",,"*H",$A$1,"High","D",,"16")</f>
        <v/>
      </c>
      <c r="D20" s="10" t="str">
        <f>RTD("esrtd",,"*H",$A$1,"Low","D",,"16")</f>
        <v/>
      </c>
      <c r="E20" s="10" t="str">
        <f>RTD("esrtd",,"*H",$A$1,"Last","D",,"16")</f>
        <v/>
      </c>
    </row>
    <row r="21" spans="1:5" x14ac:dyDescent="0.25">
      <c r="A21" s="9" t="str">
        <f>RTD("esrtd",,"*H",$A$1,"BarTime","D",,"17")</f>
        <v/>
      </c>
      <c r="B21" s="10" t="str">
        <f>RTD("esrtd",,"*H",$A$1,"Open","D",,"17")</f>
        <v/>
      </c>
      <c r="C21" s="10" t="str">
        <f>RTD("esrtd",,"*H",$A$1,"High","D",,"17")</f>
        <v/>
      </c>
      <c r="D21" s="10" t="str">
        <f>RTD("esrtd",,"*H",$A$1,"Low","D",,"17")</f>
        <v/>
      </c>
      <c r="E21" s="10" t="str">
        <f>RTD("esrtd",,"*H",$A$1,"Last","D",,"17")</f>
        <v/>
      </c>
    </row>
    <row r="22" spans="1:5" x14ac:dyDescent="0.25">
      <c r="A22" s="9" t="str">
        <f>RTD("esrtd",,"*H",$A$1,"BarTime","D",,"18")</f>
        <v/>
      </c>
      <c r="B22" s="10" t="str">
        <f>RTD("esrtd",,"*H",$A$1,"Open","D",,"18")</f>
        <v/>
      </c>
      <c r="C22" s="10" t="str">
        <f>RTD("esrtd",,"*H",$A$1,"High","D",,"18")</f>
        <v/>
      </c>
      <c r="D22" s="10" t="str">
        <f>RTD("esrtd",,"*H",$A$1,"Low","D",,"18")</f>
        <v/>
      </c>
      <c r="E22" s="10" t="str">
        <f>RTD("esrtd",,"*H",$A$1,"Last","D",,"18")</f>
        <v/>
      </c>
    </row>
    <row r="23" spans="1:5" x14ac:dyDescent="0.25">
      <c r="A23" s="9" t="str">
        <f>RTD("esrtd",,"*H",$A$1,"BarTime","D",,"19")</f>
        <v/>
      </c>
      <c r="B23" s="10" t="str">
        <f>RTD("esrtd",,"*H",$A$1,"Open","D",,"19")</f>
        <v/>
      </c>
      <c r="C23" s="10" t="str">
        <f>RTD("esrtd",,"*H",$A$1,"High","D",,"19")</f>
        <v/>
      </c>
      <c r="D23" s="10" t="str">
        <f>RTD("esrtd",,"*H",$A$1,"Low","D",,"19")</f>
        <v/>
      </c>
      <c r="E23" s="10" t="str">
        <f>RTD("esrtd",,"*H",$A$1,"Last","D",,"19")</f>
        <v/>
      </c>
    </row>
    <row r="24" spans="1:5" x14ac:dyDescent="0.25">
      <c r="A24" s="9" t="str">
        <f>RTD("esrtd",,"*H",$A$1,"BarTime","D",,"20")</f>
        <v/>
      </c>
      <c r="B24" s="10" t="str">
        <f>RTD("esrtd",,"*H",$A$1,"Open","D",,"20")</f>
        <v/>
      </c>
      <c r="C24" s="10" t="str">
        <f>RTD("esrtd",,"*H",$A$1,"High","D",,"20")</f>
        <v/>
      </c>
      <c r="D24" s="10" t="str">
        <f>RTD("esrtd",,"*H",$A$1,"Low","D",,"20")</f>
        <v/>
      </c>
      <c r="E24" s="10" t="str">
        <f>RTD("esrtd",,"*H",$A$1,"Last","D",,"20")</f>
        <v/>
      </c>
    </row>
    <row r="25" spans="1:5" x14ac:dyDescent="0.25">
      <c r="A25" s="9" t="str">
        <f>RTD("esrtd",,"*H",$A$1,"BarTime","D",,"21")</f>
        <v/>
      </c>
      <c r="B25" s="10" t="str">
        <f>RTD("esrtd",,"*H",$A$1,"Open","D",,"21")</f>
        <v/>
      </c>
      <c r="C25" s="10" t="str">
        <f>RTD("esrtd",,"*H",$A$1,"High","D",,"21")</f>
        <v/>
      </c>
      <c r="D25" s="10" t="str">
        <f>RTD("esrtd",,"*H",$A$1,"Low","D",,"21")</f>
        <v/>
      </c>
      <c r="E25" s="10" t="str">
        <f>RTD("esrtd",,"*H",$A$1,"Last","D",,"21")</f>
        <v/>
      </c>
    </row>
    <row r="26" spans="1:5" x14ac:dyDescent="0.25">
      <c r="A26" s="9" t="str">
        <f>RTD("esrtd",,"*H",$A$1,"BarTime","D",,"22")</f>
        <v/>
      </c>
      <c r="B26" s="10" t="str">
        <f>RTD("esrtd",,"*H",$A$1,"Open","D",,"22")</f>
        <v/>
      </c>
      <c r="C26" s="10" t="str">
        <f>RTD("esrtd",,"*H",$A$1,"High","D",,"22")</f>
        <v/>
      </c>
      <c r="D26" s="10" t="str">
        <f>RTD("esrtd",,"*H",$A$1,"Low","D",,"22")</f>
        <v/>
      </c>
      <c r="E26" s="10" t="str">
        <f>RTD("esrtd",,"*H",$A$1,"Last","D",,"22")</f>
        <v/>
      </c>
    </row>
    <row r="27" spans="1:5" x14ac:dyDescent="0.25">
      <c r="A27" s="9" t="str">
        <f>RTD("esrtd",,"*H",$A$1,"BarTime","D",,"23")</f>
        <v/>
      </c>
      <c r="B27" s="10" t="str">
        <f>RTD("esrtd",,"*H",$A$1,"Open","D",,"23")</f>
        <v/>
      </c>
      <c r="C27" s="10" t="str">
        <f>RTD("esrtd",,"*H",$A$1,"High","D",,"23")</f>
        <v/>
      </c>
      <c r="D27" s="10" t="str">
        <f>RTD("esrtd",,"*H",$A$1,"Low","D",,"23")</f>
        <v/>
      </c>
      <c r="E27" s="10" t="str">
        <f>RTD("esrtd",,"*H",$A$1,"Last","D",,"23")</f>
        <v/>
      </c>
    </row>
    <row r="28" spans="1:5" x14ac:dyDescent="0.25">
      <c r="A28" s="9" t="str">
        <f>RTD("esrtd",,"*H",$A$1,"BarTime","D",,"24")</f>
        <v/>
      </c>
      <c r="B28" s="10" t="str">
        <f>RTD("esrtd",,"*H",$A$1,"Open","D",,"24")</f>
        <v/>
      </c>
      <c r="C28" s="10" t="str">
        <f>RTD("esrtd",,"*H",$A$1,"High","D",,"24")</f>
        <v/>
      </c>
      <c r="D28" s="10" t="str">
        <f>RTD("esrtd",,"*H",$A$1,"Low","D",,"24")</f>
        <v/>
      </c>
      <c r="E28" s="10" t="str">
        <f>RTD("esrtd",,"*H",$A$1,"Last","D",,"24")</f>
        <v/>
      </c>
    </row>
    <row r="29" spans="1:5" x14ac:dyDescent="0.25">
      <c r="A29" s="9" t="str">
        <f>RTD("esrtd",,"*H",$A$1,"BarTime","D",,"25")</f>
        <v/>
      </c>
      <c r="B29" s="10" t="str">
        <f>RTD("esrtd",,"*H",$A$1,"Open","D",,"25")</f>
        <v/>
      </c>
      <c r="C29" s="10" t="str">
        <f>RTD("esrtd",,"*H",$A$1,"High","D",,"25")</f>
        <v/>
      </c>
      <c r="D29" s="10" t="str">
        <f>RTD("esrtd",,"*H",$A$1,"Low","D",,"25")</f>
        <v/>
      </c>
      <c r="E29" s="10" t="str">
        <f>RTD("esrtd",,"*H",$A$1,"Last","D",,"25")</f>
        <v/>
      </c>
    </row>
    <row r="30" spans="1:5" x14ac:dyDescent="0.25">
      <c r="A30" s="9" t="str">
        <f>RTD("esrtd",,"*H",$A$1,"BarTime","D",,"26")</f>
        <v/>
      </c>
      <c r="B30" s="10" t="str">
        <f>RTD("esrtd",,"*H",$A$1,"Open","D",,"26")</f>
        <v/>
      </c>
      <c r="C30" s="10" t="str">
        <f>RTD("esrtd",,"*H",$A$1,"High","D",,"26")</f>
        <v/>
      </c>
      <c r="D30" s="10" t="str">
        <f>RTD("esrtd",,"*H",$A$1,"Low","D",,"26")</f>
        <v/>
      </c>
      <c r="E30" s="10" t="str">
        <f>RTD("esrtd",,"*H",$A$1,"Last","D",,"26")</f>
        <v/>
      </c>
    </row>
    <row r="31" spans="1:5" x14ac:dyDescent="0.25">
      <c r="A31" s="9" t="str">
        <f>RTD("esrtd",,"*H",$A$1,"BarTime","D",,"27")</f>
        <v/>
      </c>
      <c r="B31" s="10" t="str">
        <f>RTD("esrtd",,"*H",$A$1,"Open","D",,"27")</f>
        <v/>
      </c>
      <c r="C31" s="10" t="str">
        <f>RTD("esrtd",,"*H",$A$1,"High","D",,"27")</f>
        <v/>
      </c>
      <c r="D31" s="10" t="str">
        <f>RTD("esrtd",,"*H",$A$1,"Low","D",,"27")</f>
        <v/>
      </c>
      <c r="E31" s="10" t="str">
        <f>RTD("esrtd",,"*H",$A$1,"Last","D",,"27")</f>
        <v/>
      </c>
    </row>
    <row r="32" spans="1:5" x14ac:dyDescent="0.25">
      <c r="A32" s="9" t="str">
        <f>RTD("esrtd",,"*H",$A$1,"BarTime","D",,"28")</f>
        <v/>
      </c>
      <c r="B32" s="10" t="str">
        <f>RTD("esrtd",,"*H",$A$1,"Open","D",,"28")</f>
        <v/>
      </c>
      <c r="C32" s="10" t="str">
        <f>RTD("esrtd",,"*H",$A$1,"High","D",,"28")</f>
        <v/>
      </c>
      <c r="D32" s="10" t="str">
        <f>RTD("esrtd",,"*H",$A$1,"Low","D",,"28")</f>
        <v/>
      </c>
      <c r="E32" s="10" t="str">
        <f>RTD("esrtd",,"*H",$A$1,"Last","D",,"28")</f>
        <v/>
      </c>
    </row>
    <row r="33" spans="1:5" x14ac:dyDescent="0.25">
      <c r="A33" s="9" t="str">
        <f>RTD("esrtd",,"*H",$A$1,"BarTime","D",,"29")</f>
        <v/>
      </c>
      <c r="B33" s="10" t="str">
        <f>RTD("esrtd",,"*H",$A$1,"Open","D",,"29")</f>
        <v/>
      </c>
      <c r="C33" s="10" t="str">
        <f>RTD("esrtd",,"*H",$A$1,"High","D",,"29")</f>
        <v/>
      </c>
      <c r="D33" s="10" t="str">
        <f>RTD("esrtd",,"*H",$A$1,"Low","D",,"29")</f>
        <v/>
      </c>
      <c r="E33" s="10" t="str">
        <f>RTD("esrtd",,"*H",$A$1,"Last","D",,"29")</f>
        <v/>
      </c>
    </row>
    <row r="34" spans="1:5" x14ac:dyDescent="0.25">
      <c r="A34" s="9" t="str">
        <f>RTD("esrtd",,"*H",$A$1,"BarTime","D",,"30")</f>
        <v/>
      </c>
      <c r="B34" s="10" t="str">
        <f>RTD("esrtd",,"*H",$A$1,"Open","D",,"30")</f>
        <v/>
      </c>
      <c r="C34" s="10" t="str">
        <f>RTD("esrtd",,"*H",$A$1,"High","D",,"30")</f>
        <v/>
      </c>
      <c r="D34" s="10" t="str">
        <f>RTD("esrtd",,"*H",$A$1,"Low","D",,"30")</f>
        <v/>
      </c>
      <c r="E34" s="10" t="str">
        <f>RTD("esrtd",,"*H",$A$1,"Last","D",,"30")</f>
        <v/>
      </c>
    </row>
    <row r="35" spans="1:5" x14ac:dyDescent="0.25">
      <c r="A35" s="9" t="str">
        <f>RTD("esrtd",,"*H",$A$1,"BarTime","D",,"31")</f>
        <v/>
      </c>
      <c r="B35" s="10" t="str">
        <f>RTD("esrtd",,"*H",$A$1,"Open","D",,"31")</f>
        <v/>
      </c>
      <c r="C35" s="10" t="str">
        <f>RTD("esrtd",,"*H",$A$1,"High","D",,"31")</f>
        <v/>
      </c>
      <c r="D35" s="10" t="str">
        <f>RTD("esrtd",,"*H",$A$1,"Low","D",,"31")</f>
        <v/>
      </c>
      <c r="E35" s="10" t="str">
        <f>RTD("esrtd",,"*H",$A$1,"Last","D",,"31")</f>
        <v/>
      </c>
    </row>
    <row r="36" spans="1:5" x14ac:dyDescent="0.25">
      <c r="A36" s="9" t="str">
        <f>RTD("esrtd",,"*H",$A$1,"BarTime","D",,"32")</f>
        <v/>
      </c>
      <c r="B36" s="10" t="str">
        <f>RTD("esrtd",,"*H",$A$1,"Open","D",,"32")</f>
        <v/>
      </c>
      <c r="C36" s="10" t="str">
        <f>RTD("esrtd",,"*H",$A$1,"High","D",,"32")</f>
        <v/>
      </c>
      <c r="D36" s="10" t="str">
        <f>RTD("esrtd",,"*H",$A$1,"Low","D",,"32")</f>
        <v/>
      </c>
      <c r="E36" s="10" t="str">
        <f>RTD("esrtd",,"*H",$A$1,"Last","D",,"32")</f>
        <v/>
      </c>
    </row>
    <row r="37" spans="1:5" x14ac:dyDescent="0.25">
      <c r="A37" s="9" t="str">
        <f>RTD("esrtd",,"*H",$A$1,"BarTime","D",,"33")</f>
        <v/>
      </c>
      <c r="B37" s="10" t="str">
        <f>RTD("esrtd",,"*H",$A$1,"Open","D",,"33")</f>
        <v/>
      </c>
      <c r="C37" s="10" t="str">
        <f>RTD("esrtd",,"*H",$A$1,"High","D",,"33")</f>
        <v/>
      </c>
      <c r="D37" s="10" t="str">
        <f>RTD("esrtd",,"*H",$A$1,"Low","D",,"33")</f>
        <v/>
      </c>
      <c r="E37" s="10" t="str">
        <f>RTD("esrtd",,"*H",$A$1,"Last","D",,"33")</f>
        <v/>
      </c>
    </row>
    <row r="38" spans="1:5" x14ac:dyDescent="0.25">
      <c r="A38" s="9" t="str">
        <f>RTD("esrtd",,"*H",$A$1,"BarTime","D",,"34")</f>
        <v/>
      </c>
      <c r="B38" s="10" t="str">
        <f>RTD("esrtd",,"*H",$A$1,"Open","D",,"34")</f>
        <v/>
      </c>
      <c r="C38" s="10" t="str">
        <f>RTD("esrtd",,"*H",$A$1,"High","D",,"34")</f>
        <v/>
      </c>
      <c r="D38" s="10" t="str">
        <f>RTD("esrtd",,"*H",$A$1,"Low","D",,"34")</f>
        <v/>
      </c>
      <c r="E38" s="10" t="str">
        <f>RTD("esrtd",,"*H",$A$1,"Last","D",,"34")</f>
        <v/>
      </c>
    </row>
    <row r="39" spans="1:5" x14ac:dyDescent="0.25">
      <c r="A39" s="9" t="str">
        <f>RTD("esrtd",,"*H",$A$1,"BarTime","D",,"35")</f>
        <v/>
      </c>
      <c r="B39" s="10" t="str">
        <f>RTD("esrtd",,"*H",$A$1,"Open","D",,"35")</f>
        <v/>
      </c>
      <c r="C39" s="10" t="str">
        <f>RTD("esrtd",,"*H",$A$1,"High","D",,"35")</f>
        <v/>
      </c>
      <c r="D39" s="10" t="str">
        <f>RTD("esrtd",,"*H",$A$1,"Low","D",,"35")</f>
        <v/>
      </c>
      <c r="E39" s="10" t="str">
        <f>RTD("esrtd",,"*H",$A$1,"Last","D",,"35")</f>
        <v/>
      </c>
    </row>
    <row r="40" spans="1:5" x14ac:dyDescent="0.25">
      <c r="A40" s="9" t="str">
        <f>RTD("esrtd",,"*H",$A$1,"BarTime","D",,"36")</f>
        <v/>
      </c>
      <c r="B40" s="10" t="str">
        <f>RTD("esrtd",,"*H",$A$1,"Open","D",,"36")</f>
        <v/>
      </c>
      <c r="C40" s="10" t="str">
        <f>RTD("esrtd",,"*H",$A$1,"High","D",,"36")</f>
        <v/>
      </c>
      <c r="D40" s="10" t="str">
        <f>RTD("esrtd",,"*H",$A$1,"Low","D",,"36")</f>
        <v/>
      </c>
      <c r="E40" s="10" t="str">
        <f>RTD("esrtd",,"*H",$A$1,"Last","D",,"36")</f>
        <v/>
      </c>
    </row>
    <row r="41" spans="1:5" x14ac:dyDescent="0.25">
      <c r="A41" s="9" t="str">
        <f>RTD("esrtd",,"*H",$A$1,"BarTime","D",,"37")</f>
        <v/>
      </c>
      <c r="B41" s="10" t="str">
        <f>RTD("esrtd",,"*H",$A$1,"Open","D",,"37")</f>
        <v/>
      </c>
      <c r="C41" s="10" t="str">
        <f>RTD("esrtd",,"*H",$A$1,"High","D",,"37")</f>
        <v/>
      </c>
      <c r="D41" s="10" t="str">
        <f>RTD("esrtd",,"*H",$A$1,"Low","D",,"37")</f>
        <v/>
      </c>
      <c r="E41" s="10" t="str">
        <f>RTD("esrtd",,"*H",$A$1,"Last","D",,"37")</f>
        <v/>
      </c>
    </row>
    <row r="42" spans="1:5" x14ac:dyDescent="0.25">
      <c r="A42" s="9" t="str">
        <f>RTD("esrtd",,"*H",$A$1,"BarTime","D",,"38")</f>
        <v/>
      </c>
      <c r="B42" s="10" t="str">
        <f>RTD("esrtd",,"*H",$A$1,"Open","D",,"38")</f>
        <v/>
      </c>
      <c r="C42" s="10" t="str">
        <f>RTD("esrtd",,"*H",$A$1,"High","D",,"38")</f>
        <v/>
      </c>
      <c r="D42" s="10" t="str">
        <f>RTD("esrtd",,"*H",$A$1,"Low","D",,"38")</f>
        <v/>
      </c>
      <c r="E42" s="10" t="str">
        <f>RTD("esrtd",,"*H",$A$1,"Last","D",,"38")</f>
        <v/>
      </c>
    </row>
    <row r="43" spans="1:5" x14ac:dyDescent="0.25">
      <c r="A43" s="9" t="str">
        <f>RTD("esrtd",,"*H",$A$1,"BarTime","D",,"39")</f>
        <v/>
      </c>
      <c r="B43" s="10" t="str">
        <f>RTD("esrtd",,"*H",$A$1,"Open","D",,"39")</f>
        <v/>
      </c>
      <c r="C43" s="10" t="str">
        <f>RTD("esrtd",,"*H",$A$1,"High","D",,"39")</f>
        <v/>
      </c>
      <c r="D43" s="10" t="str">
        <f>RTD("esrtd",,"*H",$A$1,"Low","D",,"39")</f>
        <v/>
      </c>
      <c r="E43" s="10" t="str">
        <f>RTD("esrtd",,"*H",$A$1,"Last","D",,"39")</f>
        <v/>
      </c>
    </row>
    <row r="44" spans="1:5" x14ac:dyDescent="0.25">
      <c r="A44" s="9" t="str">
        <f>RTD("esrtd",,"*H",$A$1,"BarTime","D",,"40")</f>
        <v/>
      </c>
      <c r="B44" s="10" t="str">
        <f>RTD("esrtd",,"*H",$A$1,"Open","D",,"40")</f>
        <v/>
      </c>
      <c r="C44" s="10" t="str">
        <f>RTD("esrtd",,"*H",$A$1,"High","D",,"40")</f>
        <v/>
      </c>
      <c r="D44" s="10" t="str">
        <f>RTD("esrtd",,"*H",$A$1,"Low","D",,"40")</f>
        <v/>
      </c>
      <c r="E44" s="10" t="str">
        <f>RTD("esrtd",,"*H",$A$1,"Last","D",,"40")</f>
        <v/>
      </c>
    </row>
    <row r="45" spans="1:5" x14ac:dyDescent="0.25">
      <c r="A45" s="9" t="str">
        <f>RTD("esrtd",,"*H",$A$1,"BarTime","D",,"41")</f>
        <v/>
      </c>
      <c r="B45" s="10" t="str">
        <f>RTD("esrtd",,"*H",$A$1,"Open","D",,"41")</f>
        <v/>
      </c>
      <c r="C45" s="10" t="str">
        <f>RTD("esrtd",,"*H",$A$1,"High","D",,"41")</f>
        <v/>
      </c>
      <c r="D45" s="10" t="str">
        <f>RTD("esrtd",,"*H",$A$1,"Low","D",,"41")</f>
        <v/>
      </c>
      <c r="E45" s="10" t="str">
        <f>RTD("esrtd",,"*H",$A$1,"Last","D",,"41")</f>
        <v/>
      </c>
    </row>
    <row r="46" spans="1:5" x14ac:dyDescent="0.25">
      <c r="A46" s="9" t="str">
        <f>RTD("esrtd",,"*H",$A$1,"BarTime","D",,"42")</f>
        <v/>
      </c>
      <c r="B46" s="10" t="str">
        <f>RTD("esrtd",,"*H",$A$1,"Open","D",,"42")</f>
        <v/>
      </c>
      <c r="C46" s="10" t="str">
        <f>RTD("esrtd",,"*H",$A$1,"High","D",,"42")</f>
        <v/>
      </c>
      <c r="D46" s="10" t="str">
        <f>RTD("esrtd",,"*H",$A$1,"Low","D",,"42")</f>
        <v/>
      </c>
      <c r="E46" s="10" t="str">
        <f>RTD("esrtd",,"*H",$A$1,"Last","D",,"42")</f>
        <v/>
      </c>
    </row>
    <row r="47" spans="1:5" x14ac:dyDescent="0.25">
      <c r="A47" s="9" t="str">
        <f>RTD("esrtd",,"*H",$A$1,"BarTime","D",,"43")</f>
        <v/>
      </c>
      <c r="B47" s="10" t="str">
        <f>RTD("esrtd",,"*H",$A$1,"Open","D",,"43")</f>
        <v/>
      </c>
      <c r="C47" s="10" t="str">
        <f>RTD("esrtd",,"*H",$A$1,"High","D",,"43")</f>
        <v/>
      </c>
      <c r="D47" s="10" t="str">
        <f>RTD("esrtd",,"*H",$A$1,"Low","D",,"43")</f>
        <v/>
      </c>
      <c r="E47" s="10" t="str">
        <f>RTD("esrtd",,"*H",$A$1,"Last","D",,"43")</f>
        <v/>
      </c>
    </row>
    <row r="48" spans="1:5" x14ac:dyDescent="0.25">
      <c r="A48" s="9" t="str">
        <f>RTD("esrtd",,"*H",$A$1,"BarTime","D",,"44")</f>
        <v/>
      </c>
      <c r="B48" s="10" t="str">
        <f>RTD("esrtd",,"*H",$A$1,"Open","D",,"44")</f>
        <v/>
      </c>
      <c r="C48" s="10" t="str">
        <f>RTD("esrtd",,"*H",$A$1,"High","D",,"44")</f>
        <v/>
      </c>
      <c r="D48" s="10" t="str">
        <f>RTD("esrtd",,"*H",$A$1,"Low","D",,"44")</f>
        <v/>
      </c>
      <c r="E48" s="10" t="str">
        <f>RTD("esrtd",,"*H",$A$1,"Last","D",,"44")</f>
        <v/>
      </c>
    </row>
    <row r="49" spans="1:5" x14ac:dyDescent="0.25">
      <c r="A49" s="9" t="str">
        <f>RTD("esrtd",,"*H",$A$1,"BarTime","D",,"45")</f>
        <v/>
      </c>
      <c r="B49" s="10" t="str">
        <f>RTD("esrtd",,"*H",$A$1,"Open","D",,"45")</f>
        <v/>
      </c>
      <c r="C49" s="10" t="str">
        <f>RTD("esrtd",,"*H",$A$1,"High","D",,"45")</f>
        <v/>
      </c>
      <c r="D49" s="10" t="str">
        <f>RTD("esrtd",,"*H",$A$1,"Low","D",,"45")</f>
        <v/>
      </c>
      <c r="E49" s="10" t="str">
        <f>RTD("esrtd",,"*H",$A$1,"Last","D",,"45")</f>
        <v/>
      </c>
    </row>
    <row r="50" spans="1:5" x14ac:dyDescent="0.25">
      <c r="A50" s="9" t="str">
        <f>RTD("esrtd",,"*H",$A$1,"BarTime","D",,"46")</f>
        <v/>
      </c>
      <c r="B50" s="10" t="str">
        <f>RTD("esrtd",,"*H",$A$1,"Open","D",,"46")</f>
        <v/>
      </c>
      <c r="C50" s="10" t="str">
        <f>RTD("esrtd",,"*H",$A$1,"High","D",,"46")</f>
        <v/>
      </c>
      <c r="D50" s="10" t="str">
        <f>RTD("esrtd",,"*H",$A$1,"Low","D",,"46")</f>
        <v/>
      </c>
      <c r="E50" s="10" t="str">
        <f>RTD("esrtd",,"*H",$A$1,"Last","D",,"46")</f>
        <v/>
      </c>
    </row>
    <row r="51" spans="1:5" x14ac:dyDescent="0.25">
      <c r="A51" s="9" t="str">
        <f>RTD("esrtd",,"*H",$A$1,"BarTime","D",,"47")</f>
        <v/>
      </c>
      <c r="B51" s="10" t="str">
        <f>RTD("esrtd",,"*H",$A$1,"Open","D",,"47")</f>
        <v/>
      </c>
      <c r="C51" s="10" t="str">
        <f>RTD("esrtd",,"*H",$A$1,"High","D",,"47")</f>
        <v/>
      </c>
      <c r="D51" s="10" t="str">
        <f>RTD("esrtd",,"*H",$A$1,"Low","D",,"47")</f>
        <v/>
      </c>
      <c r="E51" s="10" t="str">
        <f>RTD("esrtd",,"*H",$A$1,"Last","D",,"47")</f>
        <v/>
      </c>
    </row>
    <row r="52" spans="1:5" x14ac:dyDescent="0.25">
      <c r="A52" s="9" t="str">
        <f>RTD("esrtd",,"*H",$A$1,"BarTime","D",,"48")</f>
        <v/>
      </c>
      <c r="B52" s="10" t="str">
        <f>RTD("esrtd",,"*H",$A$1,"Open","D",,"48")</f>
        <v/>
      </c>
      <c r="C52" s="10" t="str">
        <f>RTD("esrtd",,"*H",$A$1,"High","D",,"48")</f>
        <v/>
      </c>
      <c r="D52" s="10" t="str">
        <f>RTD("esrtd",,"*H",$A$1,"Low","D",,"48")</f>
        <v/>
      </c>
      <c r="E52" s="10" t="str">
        <f>RTD("esrtd",,"*H",$A$1,"Last","D",,"48")</f>
        <v/>
      </c>
    </row>
    <row r="53" spans="1:5" x14ac:dyDescent="0.25">
      <c r="A53" s="9" t="str">
        <f>RTD("esrtd",,"*H",$A$1,"BarTime","D",,"49")</f>
        <v/>
      </c>
      <c r="B53" s="10" t="str">
        <f>RTD("esrtd",,"*H",$A$1,"Open","D",,"49")</f>
        <v/>
      </c>
      <c r="C53" s="10" t="str">
        <f>RTD("esrtd",,"*H",$A$1,"High","D",,"49")</f>
        <v/>
      </c>
      <c r="D53" s="10" t="str">
        <f>RTD("esrtd",,"*H",$A$1,"Low","D",,"49")</f>
        <v/>
      </c>
      <c r="E53" s="10" t="str">
        <f>RTD("esrtd",,"*H",$A$1,"Last","D",,"49")</f>
        <v/>
      </c>
    </row>
    <row r="54" spans="1:5" x14ac:dyDescent="0.25">
      <c r="A54" s="9" t="str">
        <f>RTD("esrtd",,"*H",$A$1,"BarTime","D",,"50")</f>
        <v/>
      </c>
      <c r="B54" s="10" t="str">
        <f>RTD("esrtd",,"*H",$A$1,"Open","D",,"50")</f>
        <v/>
      </c>
      <c r="C54" s="10" t="str">
        <f>RTD("esrtd",,"*H",$A$1,"High","D",,"50")</f>
        <v/>
      </c>
      <c r="D54" s="10" t="str">
        <f>RTD("esrtd",,"*H",$A$1,"Low","D",,"50")</f>
        <v/>
      </c>
      <c r="E54" s="10" t="str">
        <f>RTD("esrtd",,"*H",$A$1,"Last","D",,"50")</f>
        <v/>
      </c>
    </row>
    <row r="55" spans="1:5" x14ac:dyDescent="0.25">
      <c r="A55" s="9" t="str">
        <f>RTD("esrtd",,"*H",$A$1,"BarTime","D",,"51")</f>
        <v/>
      </c>
      <c r="B55" s="10" t="str">
        <f>RTD("esrtd",,"*H",$A$1,"Open","D",,"51")</f>
        <v/>
      </c>
      <c r="C55" s="10" t="str">
        <f>RTD("esrtd",,"*H",$A$1,"High","D",,"51")</f>
        <v/>
      </c>
      <c r="D55" s="10" t="str">
        <f>RTD("esrtd",,"*H",$A$1,"Low","D",,"51")</f>
        <v/>
      </c>
      <c r="E55" s="10" t="str">
        <f>RTD("esrtd",,"*H",$A$1,"Last","D",,"51")</f>
        <v/>
      </c>
    </row>
    <row r="56" spans="1:5" x14ac:dyDescent="0.25">
      <c r="A56" s="9" t="str">
        <f>RTD("esrtd",,"*H",$A$1,"BarTime","D",,"52")</f>
        <v/>
      </c>
      <c r="B56" s="10" t="str">
        <f>RTD("esrtd",,"*H",$A$1,"Open","D",,"52")</f>
        <v/>
      </c>
      <c r="C56" s="10" t="str">
        <f>RTD("esrtd",,"*H",$A$1,"High","D",,"52")</f>
        <v/>
      </c>
      <c r="D56" s="10" t="str">
        <f>RTD("esrtd",,"*H",$A$1,"Low","D",,"52")</f>
        <v/>
      </c>
      <c r="E56" s="10" t="str">
        <f>RTD("esrtd",,"*H",$A$1,"Last","D",,"52")</f>
        <v/>
      </c>
    </row>
    <row r="57" spans="1:5" x14ac:dyDescent="0.25">
      <c r="A57" s="9" t="str">
        <f>RTD("esrtd",,"*H",$A$1,"BarTime","D",,"53")</f>
        <v/>
      </c>
      <c r="B57" s="10" t="str">
        <f>RTD("esrtd",,"*H",$A$1,"Open","D",,"53")</f>
        <v/>
      </c>
      <c r="C57" s="10" t="str">
        <f>RTD("esrtd",,"*H",$A$1,"High","D",,"53")</f>
        <v/>
      </c>
      <c r="D57" s="10" t="str">
        <f>RTD("esrtd",,"*H",$A$1,"Low","D",,"53")</f>
        <v/>
      </c>
      <c r="E57" s="10" t="str">
        <f>RTD("esrtd",,"*H",$A$1,"Last","D",,"53")</f>
        <v/>
      </c>
    </row>
    <row r="58" spans="1:5" x14ac:dyDescent="0.25">
      <c r="A58" s="9" t="str">
        <f>RTD("esrtd",,"*H",$A$1,"BarTime","D",,"54")</f>
        <v/>
      </c>
      <c r="B58" s="10" t="str">
        <f>RTD("esrtd",,"*H",$A$1,"Open","D",,"54")</f>
        <v/>
      </c>
      <c r="C58" s="10" t="str">
        <f>RTD("esrtd",,"*H",$A$1,"High","D",,"54")</f>
        <v/>
      </c>
      <c r="D58" s="10" t="str">
        <f>RTD("esrtd",,"*H",$A$1,"Low","D",,"54")</f>
        <v/>
      </c>
      <c r="E58" s="10" t="str">
        <f>RTD("esrtd",,"*H",$A$1,"Last","D",,"54")</f>
        <v/>
      </c>
    </row>
    <row r="59" spans="1:5" x14ac:dyDescent="0.25">
      <c r="A59" s="9" t="str">
        <f>RTD("esrtd",,"*H",$A$1,"BarTime","D",,"55")</f>
        <v/>
      </c>
      <c r="B59" s="10" t="str">
        <f>RTD("esrtd",,"*H",$A$1,"Open","D",,"55")</f>
        <v/>
      </c>
      <c r="C59" s="10" t="str">
        <f>RTD("esrtd",,"*H",$A$1,"High","D",,"55")</f>
        <v/>
      </c>
      <c r="D59" s="10" t="str">
        <f>RTD("esrtd",,"*H",$A$1,"Low","D",,"55")</f>
        <v/>
      </c>
      <c r="E59" s="10" t="str">
        <f>RTD("esrtd",,"*H",$A$1,"Last","D",,"55")</f>
        <v/>
      </c>
    </row>
    <row r="60" spans="1:5" x14ac:dyDescent="0.25">
      <c r="A60" s="9" t="str">
        <f>RTD("esrtd",,"*H",$A$1,"BarTime","D",,"56")</f>
        <v/>
      </c>
      <c r="B60" s="10" t="str">
        <f>RTD("esrtd",,"*H",$A$1,"Open","D",,"56")</f>
        <v/>
      </c>
      <c r="C60" s="10" t="str">
        <f>RTD("esrtd",,"*H",$A$1,"High","D",,"56")</f>
        <v/>
      </c>
      <c r="D60" s="10" t="str">
        <f>RTD("esrtd",,"*H",$A$1,"Low","D",,"56")</f>
        <v/>
      </c>
      <c r="E60" s="10" t="str">
        <f>RTD("esrtd",,"*H",$A$1,"Last","D",,"56")</f>
        <v/>
      </c>
    </row>
    <row r="61" spans="1:5" x14ac:dyDescent="0.25">
      <c r="A61" s="9" t="str">
        <f>RTD("esrtd",,"*H",$A$1,"BarTime","D",,"57")</f>
        <v/>
      </c>
      <c r="B61" s="10" t="str">
        <f>RTD("esrtd",,"*H",$A$1,"Open","D",,"57")</f>
        <v/>
      </c>
      <c r="C61" s="10" t="str">
        <f>RTD("esrtd",,"*H",$A$1,"High","D",,"57")</f>
        <v/>
      </c>
      <c r="D61" s="10" t="str">
        <f>RTD("esrtd",,"*H",$A$1,"Low","D",,"57")</f>
        <v/>
      </c>
      <c r="E61" s="10" t="str">
        <f>RTD("esrtd",,"*H",$A$1,"Last","D",,"57")</f>
        <v/>
      </c>
    </row>
    <row r="62" spans="1:5" x14ac:dyDescent="0.25">
      <c r="A62" s="9" t="str">
        <f>RTD("esrtd",,"*H",$A$1,"BarTime","D",,"58")</f>
        <v/>
      </c>
      <c r="B62" s="10" t="str">
        <f>RTD("esrtd",,"*H",$A$1,"Open","D",,"58")</f>
        <v/>
      </c>
      <c r="C62" s="10" t="str">
        <f>RTD("esrtd",,"*H",$A$1,"High","D",,"58")</f>
        <v/>
      </c>
      <c r="D62" s="10" t="str">
        <f>RTD("esrtd",,"*H",$A$1,"Low","D",,"58")</f>
        <v/>
      </c>
      <c r="E62" s="10" t="str">
        <f>RTD("esrtd",,"*H",$A$1,"Last","D",,"58")</f>
        <v/>
      </c>
    </row>
    <row r="63" spans="1:5" x14ac:dyDescent="0.25">
      <c r="A63" s="9" t="str">
        <f>RTD("esrtd",,"*H",$A$1,"BarTime","D",,"59")</f>
        <v/>
      </c>
      <c r="B63" s="10" t="str">
        <f>RTD("esrtd",,"*H",$A$1,"Open","D",,"59")</f>
        <v/>
      </c>
      <c r="C63" s="10" t="str">
        <f>RTD("esrtd",,"*H",$A$1,"High","D",,"59")</f>
        <v/>
      </c>
      <c r="D63" s="10" t="str">
        <f>RTD("esrtd",,"*H",$A$1,"Low","D",,"59")</f>
        <v/>
      </c>
      <c r="E63" s="10" t="str">
        <f>RTD("esrtd",,"*H",$A$1,"Last","D",,"59")</f>
        <v/>
      </c>
    </row>
    <row r="64" spans="1:5" x14ac:dyDescent="0.25">
      <c r="A64" s="9" t="str">
        <f>RTD("esrtd",,"*H",$A$1,"BarTime","D",,"60")</f>
        <v/>
      </c>
      <c r="B64" s="10" t="str">
        <f>RTD("esrtd",,"*H",$A$1,"Open","D",,"60")</f>
        <v/>
      </c>
      <c r="C64" s="10" t="str">
        <f>RTD("esrtd",,"*H",$A$1,"High","D",,"60")</f>
        <v/>
      </c>
      <c r="D64" s="10" t="str">
        <f>RTD("esrtd",,"*H",$A$1,"Low","D",,"60")</f>
        <v/>
      </c>
      <c r="E64" s="10" t="str">
        <f>RTD("esrtd",,"*H",$A$1,"Last","D",,"60")</f>
        <v/>
      </c>
    </row>
    <row r="65" spans="1:5" x14ac:dyDescent="0.25">
      <c r="A65" s="9" t="str">
        <f>RTD("esrtd",,"*H",$A$1,"BarTime","D",,"61")</f>
        <v/>
      </c>
      <c r="B65" s="10" t="str">
        <f>RTD("esrtd",,"*H",$A$1,"Open","D",,"61")</f>
        <v/>
      </c>
      <c r="C65" s="10" t="str">
        <f>RTD("esrtd",,"*H",$A$1,"High","D",,"61")</f>
        <v/>
      </c>
      <c r="D65" s="10" t="str">
        <f>RTD("esrtd",,"*H",$A$1,"Low","D",,"61")</f>
        <v/>
      </c>
      <c r="E65" s="10" t="str">
        <f>RTD("esrtd",,"*H",$A$1,"Last","D",,"61")</f>
        <v/>
      </c>
    </row>
    <row r="66" spans="1:5" x14ac:dyDescent="0.25">
      <c r="A66" s="9" t="str">
        <f>RTD("esrtd",,"*H",$A$1,"BarTime","D",,"62")</f>
        <v/>
      </c>
      <c r="B66" s="10" t="str">
        <f>RTD("esrtd",,"*H",$A$1,"Open","D",,"62")</f>
        <v/>
      </c>
      <c r="C66" s="10" t="str">
        <f>RTD("esrtd",,"*H",$A$1,"High","D",,"62")</f>
        <v/>
      </c>
      <c r="D66" s="10" t="str">
        <f>RTD("esrtd",,"*H",$A$1,"Low","D",,"62")</f>
        <v/>
      </c>
      <c r="E66" s="10" t="str">
        <f>RTD("esrtd",,"*H",$A$1,"Last","D",,"62")</f>
        <v/>
      </c>
    </row>
    <row r="67" spans="1:5" x14ac:dyDescent="0.25">
      <c r="A67" s="9" t="str">
        <f>RTD("esrtd",,"*H",$A$1,"BarTime","D",,"63")</f>
        <v/>
      </c>
      <c r="B67" s="10" t="str">
        <f>RTD("esrtd",,"*H",$A$1,"Open","D",,"63")</f>
        <v/>
      </c>
      <c r="C67" s="10" t="str">
        <f>RTD("esrtd",,"*H",$A$1,"High","D",,"63")</f>
        <v/>
      </c>
      <c r="D67" s="10" t="str">
        <f>RTD("esrtd",,"*H",$A$1,"Low","D",,"63")</f>
        <v/>
      </c>
      <c r="E67" s="10" t="str">
        <f>RTD("esrtd",,"*H",$A$1,"Last","D",,"63")</f>
        <v/>
      </c>
    </row>
    <row r="68" spans="1:5" x14ac:dyDescent="0.25">
      <c r="A68" s="9" t="str">
        <f>RTD("esrtd",,"*H",$A$1,"BarTime","D",,"64")</f>
        <v/>
      </c>
      <c r="B68" s="10" t="str">
        <f>RTD("esrtd",,"*H",$A$1,"Open","D",,"64")</f>
        <v/>
      </c>
      <c r="C68" s="10" t="str">
        <f>RTD("esrtd",,"*H",$A$1,"High","D",,"64")</f>
        <v/>
      </c>
      <c r="D68" s="10" t="str">
        <f>RTD("esrtd",,"*H",$A$1,"Low","D",,"64")</f>
        <v/>
      </c>
      <c r="E68" s="10" t="str">
        <f>RTD("esrtd",,"*H",$A$1,"Last","D",,"64")</f>
        <v/>
      </c>
    </row>
    <row r="69" spans="1:5" x14ac:dyDescent="0.25">
      <c r="A69" s="9" t="str">
        <f>RTD("esrtd",,"*H",$A$1,"BarTime","D",,"65")</f>
        <v/>
      </c>
      <c r="B69" s="10" t="str">
        <f>RTD("esrtd",,"*H",$A$1,"Open","D",,"65")</f>
        <v/>
      </c>
      <c r="C69" s="10" t="str">
        <f>RTD("esrtd",,"*H",$A$1,"High","D",,"65")</f>
        <v/>
      </c>
      <c r="D69" s="10" t="str">
        <f>RTD("esrtd",,"*H",$A$1,"Low","D",,"65")</f>
        <v/>
      </c>
      <c r="E69" s="10" t="str">
        <f>RTD("esrtd",,"*H",$A$1,"Last","D",,"65")</f>
        <v/>
      </c>
    </row>
    <row r="70" spans="1:5" x14ac:dyDescent="0.25">
      <c r="A70" s="9" t="str">
        <f>RTD("esrtd",,"*H",$A$1,"BarTime","D",,"66")</f>
        <v/>
      </c>
      <c r="B70" s="10" t="str">
        <f>RTD("esrtd",,"*H",$A$1,"Open","D",,"66")</f>
        <v/>
      </c>
      <c r="C70" s="10" t="str">
        <f>RTD("esrtd",,"*H",$A$1,"High","D",,"66")</f>
        <v/>
      </c>
      <c r="D70" s="10" t="str">
        <f>RTD("esrtd",,"*H",$A$1,"Low","D",,"66")</f>
        <v/>
      </c>
      <c r="E70" s="10" t="str">
        <f>RTD("esrtd",,"*H",$A$1,"Last","D",,"66")</f>
        <v/>
      </c>
    </row>
    <row r="71" spans="1:5" x14ac:dyDescent="0.25">
      <c r="A71" s="9" t="str">
        <f>RTD("esrtd",,"*H",$A$1,"BarTime","D",,"67")</f>
        <v/>
      </c>
      <c r="B71" s="10" t="str">
        <f>RTD("esrtd",,"*H",$A$1,"Open","D",,"67")</f>
        <v/>
      </c>
      <c r="C71" s="10" t="str">
        <f>RTD("esrtd",,"*H",$A$1,"High","D",,"67")</f>
        <v/>
      </c>
      <c r="D71" s="10" t="str">
        <f>RTD("esrtd",,"*H",$A$1,"Low","D",,"67")</f>
        <v/>
      </c>
      <c r="E71" s="10" t="str">
        <f>RTD("esrtd",,"*H",$A$1,"Last","D",,"67")</f>
        <v/>
      </c>
    </row>
    <row r="72" spans="1:5" x14ac:dyDescent="0.25">
      <c r="A72" s="9" t="str">
        <f>RTD("esrtd",,"*H",$A$1,"BarTime","D",,"68")</f>
        <v/>
      </c>
      <c r="B72" s="10" t="str">
        <f>RTD("esrtd",,"*H",$A$1,"Open","D",,"68")</f>
        <v/>
      </c>
      <c r="C72" s="10" t="str">
        <f>RTD("esrtd",,"*H",$A$1,"High","D",,"68")</f>
        <v/>
      </c>
      <c r="D72" s="10" t="str">
        <f>RTD("esrtd",,"*H",$A$1,"Low","D",,"68")</f>
        <v/>
      </c>
      <c r="E72" s="10" t="str">
        <f>RTD("esrtd",,"*H",$A$1,"Last","D",,"68")</f>
        <v/>
      </c>
    </row>
    <row r="73" spans="1:5" x14ac:dyDescent="0.25">
      <c r="A73" s="9" t="str">
        <f>RTD("esrtd",,"*H",$A$1,"BarTime","D",,"69")</f>
        <v/>
      </c>
      <c r="B73" s="10" t="str">
        <f>RTD("esrtd",,"*H",$A$1,"Open","D",,"69")</f>
        <v/>
      </c>
      <c r="C73" s="10" t="str">
        <f>RTD("esrtd",,"*H",$A$1,"High","D",,"69")</f>
        <v/>
      </c>
      <c r="D73" s="10" t="str">
        <f>RTD("esrtd",,"*H",$A$1,"Low","D",,"69")</f>
        <v/>
      </c>
      <c r="E73" s="10" t="str">
        <f>RTD("esrtd",,"*H",$A$1,"Last","D",,"69")</f>
        <v/>
      </c>
    </row>
    <row r="74" spans="1:5" x14ac:dyDescent="0.25">
      <c r="A74" s="9" t="str">
        <f>RTD("esrtd",,"*H",$A$1,"BarTime","D",,"70")</f>
        <v/>
      </c>
      <c r="B74" s="10" t="str">
        <f>RTD("esrtd",,"*H",$A$1,"Open","D",,"70")</f>
        <v/>
      </c>
      <c r="C74" s="10" t="str">
        <f>RTD("esrtd",,"*H",$A$1,"High","D",,"70")</f>
        <v/>
      </c>
      <c r="D74" s="10" t="str">
        <f>RTD("esrtd",,"*H",$A$1,"Low","D",,"70")</f>
        <v/>
      </c>
      <c r="E74" s="10" t="str">
        <f>RTD("esrtd",,"*H",$A$1,"Last","D",,"70")</f>
        <v/>
      </c>
    </row>
    <row r="75" spans="1:5" x14ac:dyDescent="0.25">
      <c r="A75" s="9" t="str">
        <f>RTD("esrtd",,"*H",$A$1,"BarTime","D",,"71")</f>
        <v/>
      </c>
      <c r="B75" s="10" t="str">
        <f>RTD("esrtd",,"*H",$A$1,"Open","D",,"71")</f>
        <v/>
      </c>
      <c r="C75" s="10" t="str">
        <f>RTD("esrtd",,"*H",$A$1,"High","D",,"71")</f>
        <v/>
      </c>
      <c r="D75" s="10" t="str">
        <f>RTD("esrtd",,"*H",$A$1,"Low","D",,"71")</f>
        <v/>
      </c>
      <c r="E75" s="10" t="str">
        <f>RTD("esrtd",,"*H",$A$1,"Last","D",,"71")</f>
        <v/>
      </c>
    </row>
    <row r="76" spans="1:5" x14ac:dyDescent="0.25">
      <c r="A76" s="9" t="str">
        <f>RTD("esrtd",,"*H",$A$1,"BarTime","D",,"72")</f>
        <v/>
      </c>
      <c r="B76" s="10" t="str">
        <f>RTD("esrtd",,"*H",$A$1,"Open","D",,"72")</f>
        <v/>
      </c>
      <c r="C76" s="10" t="str">
        <f>RTD("esrtd",,"*H",$A$1,"High","D",,"72")</f>
        <v/>
      </c>
      <c r="D76" s="10" t="str">
        <f>RTD("esrtd",,"*H",$A$1,"Low","D",,"72")</f>
        <v/>
      </c>
      <c r="E76" s="10" t="str">
        <f>RTD("esrtd",,"*H",$A$1,"Last","D",,"72")</f>
        <v/>
      </c>
    </row>
    <row r="77" spans="1:5" x14ac:dyDescent="0.25">
      <c r="A77" s="9" t="str">
        <f>RTD("esrtd",,"*H",$A$1,"BarTime","D",,"73")</f>
        <v/>
      </c>
      <c r="B77" s="10" t="str">
        <f>RTD("esrtd",,"*H",$A$1,"Open","D",,"73")</f>
        <v/>
      </c>
      <c r="C77" s="10" t="str">
        <f>RTD("esrtd",,"*H",$A$1,"High","D",,"73")</f>
        <v/>
      </c>
      <c r="D77" s="10" t="str">
        <f>RTD("esrtd",,"*H",$A$1,"Low","D",,"73")</f>
        <v/>
      </c>
      <c r="E77" s="10" t="str">
        <f>RTD("esrtd",,"*H",$A$1,"Last","D",,"73")</f>
        <v/>
      </c>
    </row>
    <row r="78" spans="1:5" x14ac:dyDescent="0.25">
      <c r="A78" s="9" t="str">
        <f>RTD("esrtd",,"*H",$A$1,"BarTime","D",,"74")</f>
        <v/>
      </c>
      <c r="B78" s="10" t="str">
        <f>RTD("esrtd",,"*H",$A$1,"Open","D",,"74")</f>
        <v/>
      </c>
      <c r="C78" s="10" t="str">
        <f>RTD("esrtd",,"*H",$A$1,"High","D",,"74")</f>
        <v/>
      </c>
      <c r="D78" s="10" t="str">
        <f>RTD("esrtd",,"*H",$A$1,"Low","D",,"74")</f>
        <v/>
      </c>
      <c r="E78" s="10" t="str">
        <f>RTD("esrtd",,"*H",$A$1,"Last","D",,"74")</f>
        <v/>
      </c>
    </row>
    <row r="79" spans="1:5" x14ac:dyDescent="0.25">
      <c r="A79" s="9" t="str">
        <f>RTD("esrtd",,"*H",$A$1,"BarTime","D",,"75")</f>
        <v/>
      </c>
      <c r="B79" s="10" t="str">
        <f>RTD("esrtd",,"*H",$A$1,"Open","D",,"75")</f>
        <v/>
      </c>
      <c r="C79" s="10" t="str">
        <f>RTD("esrtd",,"*H",$A$1,"High","D",,"75")</f>
        <v/>
      </c>
      <c r="D79" s="10" t="str">
        <f>RTD("esrtd",,"*H",$A$1,"Low","D",,"75")</f>
        <v/>
      </c>
      <c r="E79" s="10" t="str">
        <f>RTD("esrtd",,"*H",$A$1,"Last","D",,"75")</f>
        <v/>
      </c>
    </row>
    <row r="80" spans="1:5" x14ac:dyDescent="0.25">
      <c r="A80" s="9" t="str">
        <f>RTD("esrtd",,"*H",$A$1,"BarTime","D",,"76")</f>
        <v/>
      </c>
      <c r="B80" s="10" t="str">
        <f>RTD("esrtd",,"*H",$A$1,"Open","D",,"76")</f>
        <v/>
      </c>
      <c r="C80" s="10" t="str">
        <f>RTD("esrtd",,"*H",$A$1,"High","D",,"76")</f>
        <v/>
      </c>
      <c r="D80" s="10" t="str">
        <f>RTD("esrtd",,"*H",$A$1,"Low","D",,"76")</f>
        <v/>
      </c>
      <c r="E80" s="10" t="str">
        <f>RTD("esrtd",,"*H",$A$1,"Last","D",,"76")</f>
        <v/>
      </c>
    </row>
    <row r="81" spans="1:5" x14ac:dyDescent="0.25">
      <c r="A81" s="9" t="str">
        <f>RTD("esrtd",,"*H",$A$1,"BarTime","D",,"77")</f>
        <v/>
      </c>
      <c r="B81" s="10" t="str">
        <f>RTD("esrtd",,"*H",$A$1,"Open","D",,"77")</f>
        <v/>
      </c>
      <c r="C81" s="10" t="str">
        <f>RTD("esrtd",,"*H",$A$1,"High","D",,"77")</f>
        <v/>
      </c>
      <c r="D81" s="10" t="str">
        <f>RTD("esrtd",,"*H",$A$1,"Low","D",,"77")</f>
        <v/>
      </c>
      <c r="E81" s="10" t="str">
        <f>RTD("esrtd",,"*H",$A$1,"Last","D",,"77")</f>
        <v/>
      </c>
    </row>
    <row r="82" spans="1:5" x14ac:dyDescent="0.25">
      <c r="A82" s="9" t="str">
        <f>RTD("esrtd",,"*H",$A$1,"BarTime","D",,"78")</f>
        <v/>
      </c>
      <c r="B82" s="10" t="str">
        <f>RTD("esrtd",,"*H",$A$1,"Open","D",,"78")</f>
        <v/>
      </c>
      <c r="C82" s="10" t="str">
        <f>RTD("esrtd",,"*H",$A$1,"High","D",,"78")</f>
        <v/>
      </c>
      <c r="D82" s="10" t="str">
        <f>RTD("esrtd",,"*H",$A$1,"Low","D",,"78")</f>
        <v/>
      </c>
      <c r="E82" s="10" t="str">
        <f>RTD("esrtd",,"*H",$A$1,"Last","D",,"78")</f>
        <v/>
      </c>
    </row>
    <row r="83" spans="1:5" x14ac:dyDescent="0.25">
      <c r="A83" s="9" t="str">
        <f>RTD("esrtd",,"*H",$A$1,"BarTime","D",,"79")</f>
        <v/>
      </c>
      <c r="B83" s="10" t="str">
        <f>RTD("esrtd",,"*H",$A$1,"Open","D",,"79")</f>
        <v/>
      </c>
      <c r="C83" s="10" t="str">
        <f>RTD("esrtd",,"*H",$A$1,"High","D",,"79")</f>
        <v/>
      </c>
      <c r="D83" s="10" t="str">
        <f>RTD("esrtd",,"*H",$A$1,"Low","D",,"79")</f>
        <v/>
      </c>
      <c r="E83" s="10" t="str">
        <f>RTD("esrtd",,"*H",$A$1,"Last","D",,"79")</f>
        <v/>
      </c>
    </row>
    <row r="84" spans="1:5" x14ac:dyDescent="0.25">
      <c r="A84" s="9" t="str">
        <f>RTD("esrtd",,"*H",$A$1,"BarTime","D",,"80")</f>
        <v/>
      </c>
      <c r="B84" s="10" t="str">
        <f>RTD("esrtd",,"*H",$A$1,"Open","D",,"80")</f>
        <v/>
      </c>
      <c r="C84" s="10" t="str">
        <f>RTD("esrtd",,"*H",$A$1,"High","D",,"80")</f>
        <v/>
      </c>
      <c r="D84" s="10" t="str">
        <f>RTD("esrtd",,"*H",$A$1,"Low","D",,"80")</f>
        <v/>
      </c>
      <c r="E84" s="10" t="str">
        <f>RTD("esrtd",,"*H",$A$1,"Last","D",,"80")</f>
        <v/>
      </c>
    </row>
    <row r="85" spans="1:5" x14ac:dyDescent="0.25">
      <c r="A85" s="9" t="str">
        <f>RTD("esrtd",,"*H",$A$1,"BarTime","D",,"81")</f>
        <v/>
      </c>
      <c r="B85" s="10" t="str">
        <f>RTD("esrtd",,"*H",$A$1,"Open","D",,"81")</f>
        <v/>
      </c>
      <c r="C85" s="10" t="str">
        <f>RTD("esrtd",,"*H",$A$1,"High","D",,"81")</f>
        <v/>
      </c>
      <c r="D85" s="10" t="str">
        <f>RTD("esrtd",,"*H",$A$1,"Low","D",,"81")</f>
        <v/>
      </c>
      <c r="E85" s="10" t="str">
        <f>RTD("esrtd",,"*H",$A$1,"Last","D",,"81")</f>
        <v/>
      </c>
    </row>
    <row r="86" spans="1:5" x14ac:dyDescent="0.25">
      <c r="A86" s="9" t="str">
        <f>RTD("esrtd",,"*H",$A$1,"BarTime","D",,"82")</f>
        <v/>
      </c>
      <c r="B86" s="10" t="str">
        <f>RTD("esrtd",,"*H",$A$1,"Open","D",,"82")</f>
        <v/>
      </c>
      <c r="C86" s="10" t="str">
        <f>RTD("esrtd",,"*H",$A$1,"High","D",,"82")</f>
        <v/>
      </c>
      <c r="D86" s="10" t="str">
        <f>RTD("esrtd",,"*H",$A$1,"Low","D",,"82")</f>
        <v/>
      </c>
      <c r="E86" s="10" t="str">
        <f>RTD("esrtd",,"*H",$A$1,"Last","D",,"82")</f>
        <v/>
      </c>
    </row>
    <row r="87" spans="1:5" x14ac:dyDescent="0.25">
      <c r="A87" s="9" t="str">
        <f>RTD("esrtd",,"*H",$A$1,"BarTime","D",,"83")</f>
        <v/>
      </c>
      <c r="B87" s="10" t="str">
        <f>RTD("esrtd",,"*H",$A$1,"Open","D",,"83")</f>
        <v/>
      </c>
      <c r="C87" s="10" t="str">
        <f>RTD("esrtd",,"*H",$A$1,"High","D",,"83")</f>
        <v/>
      </c>
      <c r="D87" s="10" t="str">
        <f>RTD("esrtd",,"*H",$A$1,"Low","D",,"83")</f>
        <v/>
      </c>
      <c r="E87" s="10" t="str">
        <f>RTD("esrtd",,"*H",$A$1,"Last","D",,"83")</f>
        <v/>
      </c>
    </row>
    <row r="88" spans="1:5" x14ac:dyDescent="0.25">
      <c r="A88" s="9" t="str">
        <f>RTD("esrtd",,"*H",$A$1,"BarTime","D",,"84")</f>
        <v/>
      </c>
      <c r="B88" s="10" t="str">
        <f>RTD("esrtd",,"*H",$A$1,"Open","D",,"84")</f>
        <v/>
      </c>
      <c r="C88" s="10" t="str">
        <f>RTD("esrtd",,"*H",$A$1,"High","D",,"84")</f>
        <v/>
      </c>
      <c r="D88" s="10" t="str">
        <f>RTD("esrtd",,"*H",$A$1,"Low","D",,"84")</f>
        <v/>
      </c>
      <c r="E88" s="10" t="str">
        <f>RTD("esrtd",,"*H",$A$1,"Last","D",,"84")</f>
        <v/>
      </c>
    </row>
    <row r="89" spans="1:5" x14ac:dyDescent="0.25">
      <c r="A89" s="9" t="str">
        <f>RTD("esrtd",,"*H",$A$1,"BarTime","D",,"85")</f>
        <v/>
      </c>
      <c r="B89" s="10" t="str">
        <f>RTD("esrtd",,"*H",$A$1,"Open","D",,"85")</f>
        <v/>
      </c>
      <c r="C89" s="10" t="str">
        <f>RTD("esrtd",,"*H",$A$1,"High","D",,"85")</f>
        <v/>
      </c>
      <c r="D89" s="10" t="str">
        <f>RTD("esrtd",,"*H",$A$1,"Low","D",,"85")</f>
        <v/>
      </c>
      <c r="E89" s="10" t="str">
        <f>RTD("esrtd",,"*H",$A$1,"Last","D",,"85")</f>
        <v/>
      </c>
    </row>
    <row r="90" spans="1:5" x14ac:dyDescent="0.25">
      <c r="A90" s="9" t="str">
        <f>RTD("esrtd",,"*H",$A$1,"BarTime","D",,"86")</f>
        <v/>
      </c>
      <c r="B90" s="10" t="str">
        <f>RTD("esrtd",,"*H",$A$1,"Open","D",,"86")</f>
        <v/>
      </c>
      <c r="C90" s="10" t="str">
        <f>RTD("esrtd",,"*H",$A$1,"High","D",,"86")</f>
        <v/>
      </c>
      <c r="D90" s="10" t="str">
        <f>RTD("esrtd",,"*H",$A$1,"Low","D",,"86")</f>
        <v/>
      </c>
      <c r="E90" s="10" t="str">
        <f>RTD("esrtd",,"*H",$A$1,"Last","D",,"86")</f>
        <v/>
      </c>
    </row>
    <row r="91" spans="1:5" x14ac:dyDescent="0.25">
      <c r="A91" s="9" t="str">
        <f>RTD("esrtd",,"*H",$A$1,"BarTime","D",,"87")</f>
        <v/>
      </c>
      <c r="B91" s="10" t="str">
        <f>RTD("esrtd",,"*H",$A$1,"Open","D",,"87")</f>
        <v/>
      </c>
      <c r="C91" s="10" t="str">
        <f>RTD("esrtd",,"*H",$A$1,"High","D",,"87")</f>
        <v/>
      </c>
      <c r="D91" s="10" t="str">
        <f>RTD("esrtd",,"*H",$A$1,"Low","D",,"87")</f>
        <v/>
      </c>
      <c r="E91" s="10" t="str">
        <f>RTD("esrtd",,"*H",$A$1,"Last","D",,"87")</f>
        <v/>
      </c>
    </row>
    <row r="92" spans="1:5" x14ac:dyDescent="0.25">
      <c r="A92" s="9" t="str">
        <f>RTD("esrtd",,"*H",$A$1,"BarTime","D",,"88")</f>
        <v/>
      </c>
      <c r="B92" s="10" t="str">
        <f>RTD("esrtd",,"*H",$A$1,"Open","D",,"88")</f>
        <v/>
      </c>
      <c r="C92" s="10" t="str">
        <f>RTD("esrtd",,"*H",$A$1,"High","D",,"88")</f>
        <v/>
      </c>
      <c r="D92" s="10" t="str">
        <f>RTD("esrtd",,"*H",$A$1,"Low","D",,"88")</f>
        <v/>
      </c>
      <c r="E92" s="10" t="str">
        <f>RTD("esrtd",,"*H",$A$1,"Last","D",,"88")</f>
        <v/>
      </c>
    </row>
    <row r="93" spans="1:5" x14ac:dyDescent="0.25">
      <c r="A93" s="9" t="str">
        <f>RTD("esrtd",,"*H",$A$1,"BarTime","D",,"89")</f>
        <v/>
      </c>
      <c r="B93" s="10" t="str">
        <f>RTD("esrtd",,"*H",$A$1,"Open","D",,"89")</f>
        <v/>
      </c>
      <c r="C93" s="10" t="str">
        <f>RTD("esrtd",,"*H",$A$1,"High","D",,"89")</f>
        <v/>
      </c>
      <c r="D93" s="10" t="str">
        <f>RTD("esrtd",,"*H",$A$1,"Low","D",,"89")</f>
        <v/>
      </c>
      <c r="E93" s="10" t="str">
        <f>RTD("esrtd",,"*H",$A$1,"Last","D",,"89")</f>
        <v/>
      </c>
    </row>
    <row r="94" spans="1:5" x14ac:dyDescent="0.25">
      <c r="A94" s="9" t="str">
        <f>RTD("esrtd",,"*H",$A$1,"BarTime","D",,"90")</f>
        <v/>
      </c>
      <c r="B94" s="10" t="str">
        <f>RTD("esrtd",,"*H",$A$1,"Open","D",,"90")</f>
        <v/>
      </c>
      <c r="C94" s="10" t="str">
        <f>RTD("esrtd",,"*H",$A$1,"High","D",,"90")</f>
        <v/>
      </c>
      <c r="D94" s="10" t="str">
        <f>RTD("esrtd",,"*H",$A$1,"Low","D",,"90")</f>
        <v/>
      </c>
      <c r="E94" s="10" t="str">
        <f>RTD("esrtd",,"*H",$A$1,"Last","D",,"90")</f>
        <v/>
      </c>
    </row>
    <row r="95" spans="1:5" x14ac:dyDescent="0.25">
      <c r="A95" s="9" t="str">
        <f>RTD("esrtd",,"*H",$A$1,"BarTime","D",,"91")</f>
        <v/>
      </c>
      <c r="B95" s="10" t="str">
        <f>RTD("esrtd",,"*H",$A$1,"Open","D",,"91")</f>
        <v/>
      </c>
      <c r="C95" s="10" t="str">
        <f>RTD("esrtd",,"*H",$A$1,"High","D",,"91")</f>
        <v/>
      </c>
      <c r="D95" s="10" t="str">
        <f>RTD("esrtd",,"*H",$A$1,"Low","D",,"91")</f>
        <v/>
      </c>
      <c r="E95" s="10" t="str">
        <f>RTD("esrtd",,"*H",$A$1,"Last","D",,"91")</f>
        <v/>
      </c>
    </row>
    <row r="96" spans="1:5" x14ac:dyDescent="0.25">
      <c r="A96" s="9" t="str">
        <f>RTD("esrtd",,"*H",$A$1,"BarTime","D",,"92")</f>
        <v/>
      </c>
      <c r="B96" s="10" t="str">
        <f>RTD("esrtd",,"*H",$A$1,"Open","D",,"92")</f>
        <v/>
      </c>
      <c r="C96" s="10" t="str">
        <f>RTD("esrtd",,"*H",$A$1,"High","D",,"92")</f>
        <v/>
      </c>
      <c r="D96" s="10" t="str">
        <f>RTD("esrtd",,"*H",$A$1,"Low","D",,"92")</f>
        <v/>
      </c>
      <c r="E96" s="10" t="str">
        <f>RTD("esrtd",,"*H",$A$1,"Last","D",,"92")</f>
        <v/>
      </c>
    </row>
    <row r="97" spans="1:5" x14ac:dyDescent="0.25">
      <c r="A97" s="9" t="str">
        <f>RTD("esrtd",,"*H",$A$1,"BarTime","D",,"93")</f>
        <v/>
      </c>
      <c r="B97" s="10" t="str">
        <f>RTD("esrtd",,"*H",$A$1,"Open","D",,"93")</f>
        <v/>
      </c>
      <c r="C97" s="10" t="str">
        <f>RTD("esrtd",,"*H",$A$1,"High","D",,"93")</f>
        <v/>
      </c>
      <c r="D97" s="10" t="str">
        <f>RTD("esrtd",,"*H",$A$1,"Low","D",,"93")</f>
        <v/>
      </c>
      <c r="E97" s="10" t="str">
        <f>RTD("esrtd",,"*H",$A$1,"Last","D",,"93")</f>
        <v/>
      </c>
    </row>
    <row r="98" spans="1:5" x14ac:dyDescent="0.25">
      <c r="A98" s="9" t="str">
        <f>RTD("esrtd",,"*H",$A$1,"BarTime","D",,"94")</f>
        <v/>
      </c>
      <c r="B98" s="10" t="str">
        <f>RTD("esrtd",,"*H",$A$1,"Open","D",,"94")</f>
        <v/>
      </c>
      <c r="C98" s="10" t="str">
        <f>RTD("esrtd",,"*H",$A$1,"High","D",,"94")</f>
        <v/>
      </c>
      <c r="D98" s="10" t="str">
        <f>RTD("esrtd",,"*H",$A$1,"Low","D",,"94")</f>
        <v/>
      </c>
      <c r="E98" s="10" t="str">
        <f>RTD("esrtd",,"*H",$A$1,"Last","D",,"94")</f>
        <v/>
      </c>
    </row>
    <row r="99" spans="1:5" x14ac:dyDescent="0.25">
      <c r="A99" s="9" t="str">
        <f>RTD("esrtd",,"*H",$A$1,"BarTime","D",,"95")</f>
        <v/>
      </c>
      <c r="B99" s="10" t="str">
        <f>RTD("esrtd",,"*H",$A$1,"Open","D",,"95")</f>
        <v/>
      </c>
      <c r="C99" s="10" t="str">
        <f>RTD("esrtd",,"*H",$A$1,"High","D",,"95")</f>
        <v/>
      </c>
      <c r="D99" s="10" t="str">
        <f>RTD("esrtd",,"*H",$A$1,"Low","D",,"95")</f>
        <v/>
      </c>
      <c r="E99" s="10" t="str">
        <f>RTD("esrtd",,"*H",$A$1,"Last","D",,"95")</f>
        <v/>
      </c>
    </row>
    <row r="100" spans="1:5" x14ac:dyDescent="0.25">
      <c r="A100" s="9" t="str">
        <f>RTD("esrtd",,"*H",$A$1,"BarTime","D",,"96")</f>
        <v/>
      </c>
      <c r="B100" s="10" t="str">
        <f>RTD("esrtd",,"*H",$A$1,"Open","D",,"96")</f>
        <v/>
      </c>
      <c r="C100" s="10" t="str">
        <f>RTD("esrtd",,"*H",$A$1,"High","D",,"96")</f>
        <v/>
      </c>
      <c r="D100" s="10" t="str">
        <f>RTD("esrtd",,"*H",$A$1,"Low","D",,"96")</f>
        <v/>
      </c>
      <c r="E100" s="10" t="str">
        <f>RTD("esrtd",,"*H",$A$1,"Last","D",,"96")</f>
        <v/>
      </c>
    </row>
    <row r="101" spans="1:5" x14ac:dyDescent="0.25">
      <c r="A101" s="9" t="str">
        <f>RTD("esrtd",,"*H",$A$1,"BarTime","D",,"97")</f>
        <v/>
      </c>
      <c r="B101" s="10" t="str">
        <f>RTD("esrtd",,"*H",$A$1,"Open","D",,"97")</f>
        <v/>
      </c>
      <c r="C101" s="10" t="str">
        <f>RTD("esrtd",,"*H",$A$1,"High","D",,"97")</f>
        <v/>
      </c>
      <c r="D101" s="10" t="str">
        <f>RTD("esrtd",,"*H",$A$1,"Low","D",,"97")</f>
        <v/>
      </c>
      <c r="E101" s="10" t="str">
        <f>RTD("esrtd",,"*H",$A$1,"Last","D",,"97")</f>
        <v/>
      </c>
    </row>
    <row r="102" spans="1:5" x14ac:dyDescent="0.25">
      <c r="A102" s="9" t="str">
        <f>RTD("esrtd",,"*H",$A$1,"BarTime","D",,"98")</f>
        <v/>
      </c>
      <c r="B102" s="10" t="str">
        <f>RTD("esrtd",,"*H",$A$1,"Open","D",,"98")</f>
        <v/>
      </c>
      <c r="C102" s="10" t="str">
        <f>RTD("esrtd",,"*H",$A$1,"High","D",,"98")</f>
        <v/>
      </c>
      <c r="D102" s="10" t="str">
        <f>RTD("esrtd",,"*H",$A$1,"Low","D",,"98")</f>
        <v/>
      </c>
      <c r="E102" s="10" t="str">
        <f>RTD("esrtd",,"*H",$A$1,"Last","D",,"98")</f>
        <v/>
      </c>
    </row>
    <row r="103" spans="1:5" x14ac:dyDescent="0.25">
      <c r="A103" s="11" t="str">
        <f>RTD("esrtd",,"*H",$A$1,"BarTime","D",,"99")</f>
        <v/>
      </c>
      <c r="B103" s="12" t="str">
        <f>RTD("esrtd",,"*H",$A$1,"Open","D",,"99")</f>
        <v/>
      </c>
      <c r="C103" s="12" t="str">
        <f>RTD("esrtd",,"*H",$A$1,"High","D",,"99")</f>
        <v/>
      </c>
      <c r="D103" s="12" t="str">
        <f>RTD("esrtd",,"*H",$A$1,"Low","D",,"99")</f>
        <v/>
      </c>
      <c r="E103" s="12" t="str">
        <f>RTD("esrtd",,"*H",$A$1,"Last","D",,"99")</f>
        <v/>
      </c>
    </row>
    <row r="104" spans="1:5" x14ac:dyDescent="0.25">
      <c r="A104" s="11" t="str">
        <f>RTD("esrtd",,"*H",$A$1,"BarTime","D",,"100")</f>
        <v/>
      </c>
      <c r="B104" s="12" t="str">
        <f>RTD("esrtd",,"*H",$A$1,"Open","D",,"100")</f>
        <v/>
      </c>
      <c r="C104" s="12" t="str">
        <f>RTD("esrtd",,"*H",$A$1,"High","D",,"100")</f>
        <v/>
      </c>
      <c r="D104" s="12" t="str">
        <f>RTD("esrtd",,"*H",$A$1,"Low","D",,"100")</f>
        <v/>
      </c>
      <c r="E104" s="12" t="str">
        <f>RTD("esrtd",,"*H",$A$1,"Last","D",,"100")</f>
        <v/>
      </c>
    </row>
    <row r="105" spans="1:5" x14ac:dyDescent="0.25">
      <c r="A105" s="11" t="str">
        <f>RTD("esrtd",,"*H",$A$1,"BarTime","D",,"101")</f>
        <v/>
      </c>
      <c r="B105" s="12" t="str">
        <f>RTD("esrtd",,"*H",$A$1,"Open","D",,"101")</f>
        <v/>
      </c>
      <c r="C105" s="12" t="str">
        <f>RTD("esrtd",,"*H",$A$1,"High","D",,"101")</f>
        <v/>
      </c>
      <c r="D105" s="12" t="str">
        <f>RTD("esrtd",,"*H",$A$1,"Low","D",,"101")</f>
        <v/>
      </c>
      <c r="E105" s="12" t="str">
        <f>RTD("esrtd",,"*H",$A$1,"Last","D",,"101")</f>
        <v/>
      </c>
    </row>
    <row r="106" spans="1:5" x14ac:dyDescent="0.25">
      <c r="A106" s="11" t="str">
        <f>RTD("esrtd",,"*H",$A$1,"BarTime","D",,"102")</f>
        <v/>
      </c>
      <c r="B106" s="12" t="str">
        <f>RTD("esrtd",,"*H",$A$1,"Open","D",,"102")</f>
        <v/>
      </c>
      <c r="C106" s="12" t="str">
        <f>RTD("esrtd",,"*H",$A$1,"High","D",,"102")</f>
        <v/>
      </c>
      <c r="D106" s="12" t="str">
        <f>RTD("esrtd",,"*H",$A$1,"Low","D",,"102")</f>
        <v/>
      </c>
      <c r="E106" s="12" t="str">
        <f>RTD("esrtd",,"*H",$A$1,"Last","D",,"102")</f>
        <v/>
      </c>
    </row>
    <row r="107" spans="1:5" x14ac:dyDescent="0.25">
      <c r="A107" s="11" t="str">
        <f>RTD("esrtd",,"*H",$A$1,"BarTime","D",,"103")</f>
        <v/>
      </c>
      <c r="B107" s="12" t="str">
        <f>RTD("esrtd",,"*H",$A$1,"Open","D",,"103")</f>
        <v/>
      </c>
      <c r="C107" s="12" t="str">
        <f>RTD("esrtd",,"*H",$A$1,"High","D",,"103")</f>
        <v/>
      </c>
      <c r="D107" s="12" t="str">
        <f>RTD("esrtd",,"*H",$A$1,"Low","D",,"103")</f>
        <v/>
      </c>
      <c r="E107" s="12" t="str">
        <f>RTD("esrtd",,"*H",$A$1,"Last","D",,"103")</f>
        <v/>
      </c>
    </row>
    <row r="108" spans="1:5" x14ac:dyDescent="0.25">
      <c r="A108" s="11" t="str">
        <f>RTD("esrtd",,"*H",$A$1,"BarTime","D",,"104")</f>
        <v/>
      </c>
      <c r="B108" s="12" t="str">
        <f>RTD("esrtd",,"*H",$A$1,"Open","D",,"104")</f>
        <v/>
      </c>
      <c r="C108" s="12" t="str">
        <f>RTD("esrtd",,"*H",$A$1,"High","D",,"104")</f>
        <v/>
      </c>
      <c r="D108" s="12" t="str">
        <f>RTD("esrtd",,"*H",$A$1,"Low","D",,"104")</f>
        <v/>
      </c>
      <c r="E108" s="12" t="str">
        <f>RTD("esrtd",,"*H",$A$1,"Last","D",,"104")</f>
        <v/>
      </c>
    </row>
    <row r="109" spans="1:5" x14ac:dyDescent="0.25">
      <c r="A109" s="11" t="str">
        <f>RTD("esrtd",,"*H",$A$1,"BarTime","D",,"105")</f>
        <v/>
      </c>
      <c r="B109" s="12" t="str">
        <f>RTD("esrtd",,"*H",$A$1,"Open","D",,"105")</f>
        <v/>
      </c>
      <c r="C109" s="12" t="str">
        <f>RTD("esrtd",,"*H",$A$1,"High","D",,"105")</f>
        <v/>
      </c>
      <c r="D109" s="12" t="str">
        <f>RTD("esrtd",,"*H",$A$1,"Low","D",,"105")</f>
        <v/>
      </c>
      <c r="E109" s="12" t="str">
        <f>RTD("esrtd",,"*H",$A$1,"Last","D",,"105")</f>
        <v/>
      </c>
    </row>
    <row r="110" spans="1:5" x14ac:dyDescent="0.25">
      <c r="A110" s="11" t="str">
        <f>RTD("esrtd",,"*H",$A$1,"BarTime","D",,"106")</f>
        <v/>
      </c>
      <c r="B110" s="12" t="str">
        <f>RTD("esrtd",,"*H",$A$1,"Open","D",,"106")</f>
        <v/>
      </c>
      <c r="C110" s="12" t="str">
        <f>RTD("esrtd",,"*H",$A$1,"High","D",,"106")</f>
        <v/>
      </c>
      <c r="D110" s="12" t="str">
        <f>RTD("esrtd",,"*H",$A$1,"Low","D",,"106")</f>
        <v/>
      </c>
      <c r="E110" s="12" t="str">
        <f>RTD("esrtd",,"*H",$A$1,"Last","D",,"106")</f>
        <v/>
      </c>
    </row>
    <row r="111" spans="1:5" x14ac:dyDescent="0.25">
      <c r="A111" s="11" t="str">
        <f>RTD("esrtd",,"*H",$A$1,"BarTime","D",,"107")</f>
        <v/>
      </c>
      <c r="B111" s="12" t="str">
        <f>RTD("esrtd",,"*H",$A$1,"Open","D",,"107")</f>
        <v/>
      </c>
      <c r="C111" s="12" t="str">
        <f>RTD("esrtd",,"*H",$A$1,"High","D",,"107")</f>
        <v/>
      </c>
      <c r="D111" s="12" t="str">
        <f>RTD("esrtd",,"*H",$A$1,"Low","D",,"107")</f>
        <v/>
      </c>
      <c r="E111" s="12" t="str">
        <f>RTD("esrtd",,"*H",$A$1,"Last","D",,"107")</f>
        <v/>
      </c>
    </row>
    <row r="112" spans="1:5" x14ac:dyDescent="0.25">
      <c r="A112" s="11" t="str">
        <f>RTD("esrtd",,"*H",$A$1,"BarTime","D",,"108")</f>
        <v/>
      </c>
      <c r="B112" s="12" t="str">
        <f>RTD("esrtd",,"*H",$A$1,"Open","D",,"108")</f>
        <v/>
      </c>
      <c r="C112" s="12" t="str">
        <f>RTD("esrtd",,"*H",$A$1,"High","D",,"108")</f>
        <v/>
      </c>
      <c r="D112" s="12" t="str">
        <f>RTD("esrtd",,"*H",$A$1,"Low","D",,"108")</f>
        <v/>
      </c>
      <c r="E112" s="12" t="str">
        <f>RTD("esrtd",,"*H",$A$1,"Last","D",,"108")</f>
        <v/>
      </c>
    </row>
    <row r="113" spans="1:5" x14ac:dyDescent="0.25">
      <c r="A113" s="11" t="str">
        <f>RTD("esrtd",,"*H",$A$1,"BarTime","D",,"109")</f>
        <v/>
      </c>
      <c r="B113" s="12" t="str">
        <f>RTD("esrtd",,"*H",$A$1,"Open","D",,"109")</f>
        <v/>
      </c>
      <c r="C113" s="12" t="str">
        <f>RTD("esrtd",,"*H",$A$1,"High","D",,"109")</f>
        <v/>
      </c>
      <c r="D113" s="12" t="str">
        <f>RTD("esrtd",,"*H",$A$1,"Low","D",,"109")</f>
        <v/>
      </c>
      <c r="E113" s="12" t="str">
        <f>RTD("esrtd",,"*H",$A$1,"Last","D",,"109")</f>
        <v/>
      </c>
    </row>
    <row r="114" spans="1:5" x14ac:dyDescent="0.25">
      <c r="A114" s="11" t="str">
        <f>RTD("esrtd",,"*H",$A$1,"BarTime","D",,"110")</f>
        <v/>
      </c>
      <c r="B114" s="12" t="str">
        <f>RTD("esrtd",,"*H",$A$1,"Open","D",,"110")</f>
        <v/>
      </c>
      <c r="C114" s="12" t="str">
        <f>RTD("esrtd",,"*H",$A$1,"High","D",,"110")</f>
        <v/>
      </c>
      <c r="D114" s="12" t="str">
        <f>RTD("esrtd",,"*H",$A$1,"Low","D",,"110")</f>
        <v/>
      </c>
      <c r="E114" s="12" t="str">
        <f>RTD("esrtd",,"*H",$A$1,"Last","D",,"110")</f>
        <v/>
      </c>
    </row>
    <row r="115" spans="1:5" x14ac:dyDescent="0.25">
      <c r="A115" s="11" t="str">
        <f>RTD("esrtd",,"*H",$A$1,"BarTime","D",,"111")</f>
        <v/>
      </c>
      <c r="B115" s="12" t="str">
        <f>RTD("esrtd",,"*H",$A$1,"Open","D",,"111")</f>
        <v/>
      </c>
      <c r="C115" s="12" t="str">
        <f>RTD("esrtd",,"*H",$A$1,"High","D",,"111")</f>
        <v/>
      </c>
      <c r="D115" s="12" t="str">
        <f>RTD("esrtd",,"*H",$A$1,"Low","D",,"111")</f>
        <v/>
      </c>
      <c r="E115" s="12" t="str">
        <f>RTD("esrtd",,"*H",$A$1,"Last","D",,"111")</f>
        <v/>
      </c>
    </row>
    <row r="116" spans="1:5" x14ac:dyDescent="0.25">
      <c r="A116" s="11" t="str">
        <f>RTD("esrtd",,"*H",$A$1,"BarTime","D",,"112")</f>
        <v/>
      </c>
      <c r="B116" s="12" t="str">
        <f>RTD("esrtd",,"*H",$A$1,"Open","D",,"112")</f>
        <v/>
      </c>
      <c r="C116" s="12" t="str">
        <f>RTD("esrtd",,"*H",$A$1,"High","D",,"112")</f>
        <v/>
      </c>
      <c r="D116" s="12" t="str">
        <f>RTD("esrtd",,"*H",$A$1,"Low","D",,"112")</f>
        <v/>
      </c>
      <c r="E116" s="12" t="str">
        <f>RTD("esrtd",,"*H",$A$1,"Last","D",,"112")</f>
        <v/>
      </c>
    </row>
    <row r="117" spans="1:5" x14ac:dyDescent="0.25">
      <c r="A117" s="11" t="str">
        <f>RTD("esrtd",,"*H",$A$1,"BarTime","D",,"113")</f>
        <v/>
      </c>
      <c r="B117" s="12" t="str">
        <f>RTD("esrtd",,"*H",$A$1,"Open","D",,"113")</f>
        <v/>
      </c>
      <c r="C117" s="12" t="str">
        <f>RTD("esrtd",,"*H",$A$1,"High","D",,"113")</f>
        <v/>
      </c>
      <c r="D117" s="12" t="str">
        <f>RTD("esrtd",,"*H",$A$1,"Low","D",,"113")</f>
        <v/>
      </c>
      <c r="E117" s="12" t="str">
        <f>RTD("esrtd",,"*H",$A$1,"Last","D",,"113")</f>
        <v/>
      </c>
    </row>
    <row r="118" spans="1:5" x14ac:dyDescent="0.25">
      <c r="A118" s="11" t="str">
        <f>RTD("esrtd",,"*H",$A$1,"BarTime","D",,"114")</f>
        <v/>
      </c>
      <c r="B118" s="12" t="str">
        <f>RTD("esrtd",,"*H",$A$1,"Open","D",,"114")</f>
        <v/>
      </c>
      <c r="C118" s="12" t="str">
        <f>RTD("esrtd",,"*H",$A$1,"High","D",,"114")</f>
        <v/>
      </c>
      <c r="D118" s="12" t="str">
        <f>RTD("esrtd",,"*H",$A$1,"Low","D",,"114")</f>
        <v/>
      </c>
      <c r="E118" s="12" t="str">
        <f>RTD("esrtd",,"*H",$A$1,"Last","D",,"114")</f>
        <v/>
      </c>
    </row>
    <row r="119" spans="1:5" x14ac:dyDescent="0.25">
      <c r="A119" s="11" t="str">
        <f>RTD("esrtd",,"*H",$A$1,"BarTime","D",,"115")</f>
        <v/>
      </c>
      <c r="B119" s="12" t="str">
        <f>RTD("esrtd",,"*H",$A$1,"Open","D",,"115")</f>
        <v/>
      </c>
      <c r="C119" s="12" t="str">
        <f>RTD("esrtd",,"*H",$A$1,"High","D",,"115")</f>
        <v/>
      </c>
      <c r="D119" s="12" t="str">
        <f>RTD("esrtd",,"*H",$A$1,"Low","D",,"115")</f>
        <v/>
      </c>
      <c r="E119" s="12" t="str">
        <f>RTD("esrtd",,"*H",$A$1,"Last","D",,"115")</f>
        <v/>
      </c>
    </row>
    <row r="120" spans="1:5" x14ac:dyDescent="0.25">
      <c r="A120" s="11" t="str">
        <f>RTD("esrtd",,"*H",$A$1,"BarTime","D",,"116")</f>
        <v/>
      </c>
      <c r="B120" s="12" t="str">
        <f>RTD("esrtd",,"*H",$A$1,"Open","D",,"116")</f>
        <v/>
      </c>
      <c r="C120" s="12" t="str">
        <f>RTD("esrtd",,"*H",$A$1,"High","D",,"116")</f>
        <v/>
      </c>
      <c r="D120" s="12" t="str">
        <f>RTD("esrtd",,"*H",$A$1,"Low","D",,"116")</f>
        <v/>
      </c>
      <c r="E120" s="12" t="str">
        <f>RTD("esrtd",,"*H",$A$1,"Last","D",,"116")</f>
        <v/>
      </c>
    </row>
    <row r="121" spans="1:5" x14ac:dyDescent="0.25">
      <c r="A121" s="11" t="str">
        <f>RTD("esrtd",,"*H",$A$1,"BarTime","D",,"117")</f>
        <v/>
      </c>
      <c r="B121" s="12" t="str">
        <f>RTD("esrtd",,"*H",$A$1,"Open","D",,"117")</f>
        <v/>
      </c>
      <c r="C121" s="12" t="str">
        <f>RTD("esrtd",,"*H",$A$1,"High","D",,"117")</f>
        <v/>
      </c>
      <c r="D121" s="12" t="str">
        <f>RTD("esrtd",,"*H",$A$1,"Low","D",,"117")</f>
        <v/>
      </c>
      <c r="E121" s="12" t="str">
        <f>RTD("esrtd",,"*H",$A$1,"Last","D",,"117")</f>
        <v/>
      </c>
    </row>
    <row r="122" spans="1:5" x14ac:dyDescent="0.25">
      <c r="A122" s="11" t="str">
        <f>RTD("esrtd",,"*H",$A$1,"BarTime","D",,"118")</f>
        <v/>
      </c>
      <c r="B122" s="12" t="str">
        <f>RTD("esrtd",,"*H",$A$1,"Open","D",,"118")</f>
        <v/>
      </c>
      <c r="C122" s="12" t="str">
        <f>RTD("esrtd",,"*H",$A$1,"High","D",,"118")</f>
        <v/>
      </c>
      <c r="D122" s="12" t="str">
        <f>RTD("esrtd",,"*H",$A$1,"Low","D",,"118")</f>
        <v/>
      </c>
      <c r="E122" s="12" t="str">
        <f>RTD("esrtd",,"*H",$A$1,"Last","D",,"118")</f>
        <v/>
      </c>
    </row>
    <row r="123" spans="1:5" x14ac:dyDescent="0.25">
      <c r="A123" s="11" t="str">
        <f>RTD("esrtd",,"*H",$A$1,"BarTime","D",,"119")</f>
        <v/>
      </c>
      <c r="B123" s="12" t="str">
        <f>RTD("esrtd",,"*H",$A$1,"Open","D",,"119")</f>
        <v/>
      </c>
      <c r="C123" s="12" t="str">
        <f>RTD("esrtd",,"*H",$A$1,"High","D",,"119")</f>
        <v/>
      </c>
      <c r="D123" s="12" t="str">
        <f>RTD("esrtd",,"*H",$A$1,"Low","D",,"119")</f>
        <v/>
      </c>
      <c r="E123" s="12" t="str">
        <f>RTD("esrtd",,"*H",$A$1,"Last","D",,"119")</f>
        <v/>
      </c>
    </row>
    <row r="124" spans="1:5" x14ac:dyDescent="0.25">
      <c r="A124" s="11" t="str">
        <f>RTD("esrtd",,"*H",$A$1,"BarTime","D",,"120")</f>
        <v/>
      </c>
      <c r="B124" s="12" t="str">
        <f>RTD("esrtd",,"*H",$A$1,"Open","D",,"120")</f>
        <v/>
      </c>
      <c r="C124" s="12" t="str">
        <f>RTD("esrtd",,"*H",$A$1,"High","D",,"120")</f>
        <v/>
      </c>
      <c r="D124" s="12" t="str">
        <f>RTD("esrtd",,"*H",$A$1,"Low","D",,"120")</f>
        <v/>
      </c>
      <c r="E124" s="12" t="str">
        <f>RTD("esrtd",,"*H",$A$1,"Last","D",,"120")</f>
        <v/>
      </c>
    </row>
    <row r="125" spans="1:5" x14ac:dyDescent="0.25">
      <c r="A125" s="11" t="str">
        <f>RTD("esrtd",,"*H",$A$1,"BarTime","D",,"121")</f>
        <v/>
      </c>
      <c r="B125" s="12" t="str">
        <f>RTD("esrtd",,"*H",$A$1,"Open","D",,"121")</f>
        <v/>
      </c>
      <c r="C125" s="12" t="str">
        <f>RTD("esrtd",,"*H",$A$1,"High","D",,"121")</f>
        <v/>
      </c>
      <c r="D125" s="12" t="str">
        <f>RTD("esrtd",,"*H",$A$1,"Low","D",,"121")</f>
        <v/>
      </c>
      <c r="E125" s="12" t="str">
        <f>RTD("esrtd",,"*H",$A$1,"Last","D",,"121")</f>
        <v/>
      </c>
    </row>
    <row r="126" spans="1:5" x14ac:dyDescent="0.25">
      <c r="A126" s="11" t="str">
        <f>RTD("esrtd",,"*H",$A$1,"BarTime","D",,"122")</f>
        <v/>
      </c>
      <c r="B126" s="12" t="str">
        <f>RTD("esrtd",,"*H",$A$1,"Open","D",,"122")</f>
        <v/>
      </c>
      <c r="C126" s="12" t="str">
        <f>RTD("esrtd",,"*H",$A$1,"High","D",,"122")</f>
        <v/>
      </c>
      <c r="D126" s="12" t="str">
        <f>RTD("esrtd",,"*H",$A$1,"Low","D",,"122")</f>
        <v/>
      </c>
      <c r="E126" s="12" t="str">
        <f>RTD("esrtd",,"*H",$A$1,"Last","D",,"122")</f>
        <v/>
      </c>
    </row>
    <row r="127" spans="1:5" x14ac:dyDescent="0.25">
      <c r="A127" s="11" t="str">
        <f>RTD("esrtd",,"*H",$A$1,"BarTime","D",,"123")</f>
        <v/>
      </c>
      <c r="B127" s="12" t="str">
        <f>RTD("esrtd",,"*H",$A$1,"Open","D",,"123")</f>
        <v/>
      </c>
      <c r="C127" s="12" t="str">
        <f>RTD("esrtd",,"*H",$A$1,"High","D",,"123")</f>
        <v/>
      </c>
      <c r="D127" s="12" t="str">
        <f>RTD("esrtd",,"*H",$A$1,"Low","D",,"123")</f>
        <v/>
      </c>
      <c r="E127" s="12" t="str">
        <f>RTD("esrtd",,"*H",$A$1,"Last","D",,"123")</f>
        <v/>
      </c>
    </row>
    <row r="128" spans="1:5" x14ac:dyDescent="0.25">
      <c r="A128" s="11" t="str">
        <f>RTD("esrtd",,"*H",$A$1,"BarTime","D",,"124")</f>
        <v/>
      </c>
      <c r="B128" s="12" t="str">
        <f>RTD("esrtd",,"*H",$A$1,"Open","D",,"124")</f>
        <v/>
      </c>
      <c r="C128" s="12" t="str">
        <f>RTD("esrtd",,"*H",$A$1,"High","D",,"124")</f>
        <v/>
      </c>
      <c r="D128" s="12" t="str">
        <f>RTD("esrtd",,"*H",$A$1,"Low","D",,"124")</f>
        <v/>
      </c>
      <c r="E128" s="12" t="str">
        <f>RTD("esrtd",,"*H",$A$1,"Last","D",,"124")</f>
        <v/>
      </c>
    </row>
    <row r="129" spans="1:5" x14ac:dyDescent="0.25">
      <c r="A129" s="11" t="str">
        <f>RTD("esrtd",,"*H",$A$1,"BarTime","D",,"125")</f>
        <v/>
      </c>
      <c r="B129" s="12" t="str">
        <f>RTD("esrtd",,"*H",$A$1,"Open","D",,"125")</f>
        <v/>
      </c>
      <c r="C129" s="12" t="str">
        <f>RTD("esrtd",,"*H",$A$1,"High","D",,"125")</f>
        <v/>
      </c>
      <c r="D129" s="12" t="str">
        <f>RTD("esrtd",,"*H",$A$1,"Low","D",,"125")</f>
        <v/>
      </c>
      <c r="E129" s="12" t="str">
        <f>RTD("esrtd",,"*H",$A$1,"Last","D",,"125")</f>
        <v/>
      </c>
    </row>
    <row r="130" spans="1:5" x14ac:dyDescent="0.25">
      <c r="A130" s="11" t="str">
        <f>RTD("esrtd",,"*H",$A$1,"BarTime","D",,"126")</f>
        <v/>
      </c>
      <c r="B130" s="12" t="str">
        <f>RTD("esrtd",,"*H",$A$1,"Open","D",,"126")</f>
        <v/>
      </c>
      <c r="C130" s="12" t="str">
        <f>RTD("esrtd",,"*H",$A$1,"High","D",,"126")</f>
        <v/>
      </c>
      <c r="D130" s="12" t="str">
        <f>RTD("esrtd",,"*H",$A$1,"Low","D",,"126")</f>
        <v/>
      </c>
      <c r="E130" s="12" t="str">
        <f>RTD("esrtd",,"*H",$A$1,"Last","D",,"126")</f>
        <v/>
      </c>
    </row>
    <row r="131" spans="1:5" x14ac:dyDescent="0.25">
      <c r="A131" s="11" t="str">
        <f>RTD("esrtd",,"*H",$A$1,"BarTime","D",,"127")</f>
        <v/>
      </c>
      <c r="B131" s="12" t="str">
        <f>RTD("esrtd",,"*H",$A$1,"Open","D",,"127")</f>
        <v/>
      </c>
      <c r="C131" s="12" t="str">
        <f>RTD("esrtd",,"*H",$A$1,"High","D",,"127")</f>
        <v/>
      </c>
      <c r="D131" s="12" t="str">
        <f>RTD("esrtd",,"*H",$A$1,"Low","D",,"127")</f>
        <v/>
      </c>
      <c r="E131" s="12" t="str">
        <f>RTD("esrtd",,"*H",$A$1,"Last","D",,"127")</f>
        <v/>
      </c>
    </row>
    <row r="132" spans="1:5" x14ac:dyDescent="0.25">
      <c r="A132" s="11" t="str">
        <f>RTD("esrtd",,"*H",$A$1,"BarTime","D",,"128")</f>
        <v/>
      </c>
      <c r="B132" s="12" t="str">
        <f>RTD("esrtd",,"*H",$A$1,"Open","D",,"128")</f>
        <v/>
      </c>
      <c r="C132" s="12" t="str">
        <f>RTD("esrtd",,"*H",$A$1,"High","D",,"128")</f>
        <v/>
      </c>
      <c r="D132" s="12" t="str">
        <f>RTD("esrtd",,"*H",$A$1,"Low","D",,"128")</f>
        <v/>
      </c>
      <c r="E132" s="12" t="str">
        <f>RTD("esrtd",,"*H",$A$1,"Last","D",,"128")</f>
        <v/>
      </c>
    </row>
    <row r="133" spans="1:5" x14ac:dyDescent="0.25">
      <c r="A133" s="11" t="str">
        <f>RTD("esrtd",,"*H",$A$1,"BarTime","D",,"129")</f>
        <v/>
      </c>
      <c r="B133" s="12" t="str">
        <f>RTD("esrtd",,"*H",$A$1,"Open","D",,"129")</f>
        <v/>
      </c>
      <c r="C133" s="12" t="str">
        <f>RTD("esrtd",,"*H",$A$1,"High","D",,"129")</f>
        <v/>
      </c>
      <c r="D133" s="12" t="str">
        <f>RTD("esrtd",,"*H",$A$1,"Low","D",,"129")</f>
        <v/>
      </c>
      <c r="E133" s="12" t="str">
        <f>RTD("esrtd",,"*H",$A$1,"Last","D",,"129")</f>
        <v/>
      </c>
    </row>
    <row r="134" spans="1:5" x14ac:dyDescent="0.25">
      <c r="A134" s="11" t="str">
        <f>RTD("esrtd",,"*H",$A$1,"BarTime","D",,"130")</f>
        <v/>
      </c>
      <c r="B134" s="12" t="str">
        <f>RTD("esrtd",,"*H",$A$1,"Open","D",,"130")</f>
        <v/>
      </c>
      <c r="C134" s="12" t="str">
        <f>RTD("esrtd",,"*H",$A$1,"High","D",,"130")</f>
        <v/>
      </c>
      <c r="D134" s="12" t="str">
        <f>RTD("esrtd",,"*H",$A$1,"Low","D",,"130")</f>
        <v/>
      </c>
      <c r="E134" s="12" t="str">
        <f>RTD("esrtd",,"*H",$A$1,"Last","D",,"130")</f>
        <v/>
      </c>
    </row>
    <row r="135" spans="1:5" x14ac:dyDescent="0.25">
      <c r="A135" s="11" t="str">
        <f>RTD("esrtd",,"*H",$A$1,"BarTime","D",,"131")</f>
        <v/>
      </c>
      <c r="B135" s="12" t="str">
        <f>RTD("esrtd",,"*H",$A$1,"Open","D",,"131")</f>
        <v/>
      </c>
      <c r="C135" s="12" t="str">
        <f>RTD("esrtd",,"*H",$A$1,"High","D",,"131")</f>
        <v/>
      </c>
      <c r="D135" s="12" t="str">
        <f>RTD("esrtd",,"*H",$A$1,"Low","D",,"131")</f>
        <v/>
      </c>
      <c r="E135" s="12" t="str">
        <f>RTD("esrtd",,"*H",$A$1,"Last","D",,"131")</f>
        <v/>
      </c>
    </row>
    <row r="136" spans="1:5" x14ac:dyDescent="0.25">
      <c r="A136" s="11" t="str">
        <f>RTD("esrtd",,"*H",$A$1,"BarTime","D",,"132")</f>
        <v/>
      </c>
      <c r="B136" s="12" t="str">
        <f>RTD("esrtd",,"*H",$A$1,"Open","D",,"132")</f>
        <v/>
      </c>
      <c r="C136" s="12" t="str">
        <f>RTD("esrtd",,"*H",$A$1,"High","D",,"132")</f>
        <v/>
      </c>
      <c r="D136" s="12" t="str">
        <f>RTD("esrtd",,"*H",$A$1,"Low","D",,"132")</f>
        <v/>
      </c>
      <c r="E136" s="12" t="str">
        <f>RTD("esrtd",,"*H",$A$1,"Last","D",,"132")</f>
        <v/>
      </c>
    </row>
    <row r="137" spans="1:5" x14ac:dyDescent="0.25">
      <c r="A137" s="11" t="str">
        <f>RTD("esrtd",,"*H",$A$1,"BarTime","D",,"133")</f>
        <v/>
      </c>
      <c r="B137" s="12" t="str">
        <f>RTD("esrtd",,"*H",$A$1,"Open","D",,"133")</f>
        <v/>
      </c>
      <c r="C137" s="12" t="str">
        <f>RTD("esrtd",,"*H",$A$1,"High","D",,"133")</f>
        <v/>
      </c>
      <c r="D137" s="12" t="str">
        <f>RTD("esrtd",,"*H",$A$1,"Low","D",,"133")</f>
        <v/>
      </c>
      <c r="E137" s="12" t="str">
        <f>RTD("esrtd",,"*H",$A$1,"Last","D",,"133")</f>
        <v/>
      </c>
    </row>
    <row r="138" spans="1:5" x14ac:dyDescent="0.25">
      <c r="A138" s="11" t="str">
        <f>RTD("esrtd",,"*H",$A$1,"BarTime","D",,"134")</f>
        <v/>
      </c>
      <c r="B138" s="12" t="str">
        <f>RTD("esrtd",,"*H",$A$1,"Open","D",,"134")</f>
        <v/>
      </c>
      <c r="C138" s="12" t="str">
        <f>RTD("esrtd",,"*H",$A$1,"High","D",,"134")</f>
        <v/>
      </c>
      <c r="D138" s="12" t="str">
        <f>RTD("esrtd",,"*H",$A$1,"Low","D",,"134")</f>
        <v/>
      </c>
      <c r="E138" s="12" t="str">
        <f>RTD("esrtd",,"*H",$A$1,"Last","D",,"134")</f>
        <v/>
      </c>
    </row>
    <row r="139" spans="1:5" x14ac:dyDescent="0.25">
      <c r="A139" s="11" t="str">
        <f>RTD("esrtd",,"*H",$A$1,"BarTime","D",,"135")</f>
        <v/>
      </c>
      <c r="B139" s="12" t="str">
        <f>RTD("esrtd",,"*H",$A$1,"Open","D",,"135")</f>
        <v/>
      </c>
      <c r="C139" s="12" t="str">
        <f>RTD("esrtd",,"*H",$A$1,"High","D",,"135")</f>
        <v/>
      </c>
      <c r="D139" s="12" t="str">
        <f>RTD("esrtd",,"*H",$A$1,"Low","D",,"135")</f>
        <v/>
      </c>
      <c r="E139" s="12" t="str">
        <f>RTD("esrtd",,"*H",$A$1,"Last","D",,"135")</f>
        <v/>
      </c>
    </row>
    <row r="140" spans="1:5" x14ac:dyDescent="0.25">
      <c r="A140" s="11" t="str">
        <f>RTD("esrtd",,"*H",$A$1,"BarTime","D",,"136")</f>
        <v/>
      </c>
      <c r="B140" s="12" t="str">
        <f>RTD("esrtd",,"*H",$A$1,"Open","D",,"136")</f>
        <v/>
      </c>
      <c r="C140" s="12" t="str">
        <f>RTD("esrtd",,"*H",$A$1,"High","D",,"136")</f>
        <v/>
      </c>
      <c r="D140" s="12" t="str">
        <f>RTD("esrtd",,"*H",$A$1,"Low","D",,"136")</f>
        <v/>
      </c>
      <c r="E140" s="12" t="str">
        <f>RTD("esrtd",,"*H",$A$1,"Last","D",,"136")</f>
        <v/>
      </c>
    </row>
    <row r="141" spans="1:5" x14ac:dyDescent="0.25">
      <c r="A141" s="11" t="str">
        <f>RTD("esrtd",,"*H",$A$1,"BarTime","D",,"137")</f>
        <v/>
      </c>
      <c r="B141" s="12" t="str">
        <f>RTD("esrtd",,"*H",$A$1,"Open","D",,"137")</f>
        <v/>
      </c>
      <c r="C141" s="12" t="str">
        <f>RTD("esrtd",,"*H",$A$1,"High","D",,"137")</f>
        <v/>
      </c>
      <c r="D141" s="12" t="str">
        <f>RTD("esrtd",,"*H",$A$1,"Low","D",,"137")</f>
        <v/>
      </c>
      <c r="E141" s="12" t="str">
        <f>RTD("esrtd",,"*H",$A$1,"Last","D",,"137")</f>
        <v/>
      </c>
    </row>
    <row r="142" spans="1:5" x14ac:dyDescent="0.25">
      <c r="A142" s="11" t="str">
        <f>RTD("esrtd",,"*H",$A$1,"BarTime","D",,"138")</f>
        <v/>
      </c>
      <c r="B142" s="12" t="str">
        <f>RTD("esrtd",,"*H",$A$1,"Open","D",,"138")</f>
        <v/>
      </c>
      <c r="C142" s="12" t="str">
        <f>RTD("esrtd",,"*H",$A$1,"High","D",,"138")</f>
        <v/>
      </c>
      <c r="D142" s="12" t="str">
        <f>RTD("esrtd",,"*H",$A$1,"Low","D",,"138")</f>
        <v/>
      </c>
      <c r="E142" s="12" t="str">
        <f>RTD("esrtd",,"*H",$A$1,"Last","D",,"138")</f>
        <v/>
      </c>
    </row>
    <row r="143" spans="1:5" x14ac:dyDescent="0.25">
      <c r="A143" s="11" t="str">
        <f>RTD("esrtd",,"*H",$A$1,"BarTime","D",,"139")</f>
        <v/>
      </c>
      <c r="B143" s="12" t="str">
        <f>RTD("esrtd",,"*H",$A$1,"Open","D",,"139")</f>
        <v/>
      </c>
      <c r="C143" s="12" t="str">
        <f>RTD("esrtd",,"*H",$A$1,"High","D",,"139")</f>
        <v/>
      </c>
      <c r="D143" s="12" t="str">
        <f>RTD("esrtd",,"*H",$A$1,"Low","D",,"139")</f>
        <v/>
      </c>
      <c r="E143" s="12" t="str">
        <f>RTD("esrtd",,"*H",$A$1,"Last","D",,"139")</f>
        <v/>
      </c>
    </row>
    <row r="144" spans="1:5" x14ac:dyDescent="0.25">
      <c r="A144" s="11" t="str">
        <f>RTD("esrtd",,"*H",$A$1,"BarTime","D",,"140")</f>
        <v/>
      </c>
      <c r="B144" s="12" t="str">
        <f>RTD("esrtd",,"*H",$A$1,"Open","D",,"140")</f>
        <v/>
      </c>
      <c r="C144" s="12" t="str">
        <f>RTD("esrtd",,"*H",$A$1,"High","D",,"140")</f>
        <v/>
      </c>
      <c r="D144" s="12" t="str">
        <f>RTD("esrtd",,"*H",$A$1,"Low","D",,"140")</f>
        <v/>
      </c>
      <c r="E144" s="12" t="str">
        <f>RTD("esrtd",,"*H",$A$1,"Last","D",,"140")</f>
        <v/>
      </c>
    </row>
    <row r="145" spans="1:5" x14ac:dyDescent="0.25">
      <c r="A145" s="11" t="str">
        <f>RTD("esrtd",,"*H",$A$1,"BarTime","D",,"141")</f>
        <v/>
      </c>
      <c r="B145" s="12" t="str">
        <f>RTD("esrtd",,"*H",$A$1,"Open","D",,"141")</f>
        <v/>
      </c>
      <c r="C145" s="12" t="str">
        <f>RTD("esrtd",,"*H",$A$1,"High","D",,"141")</f>
        <v/>
      </c>
      <c r="D145" s="12" t="str">
        <f>RTD("esrtd",,"*H",$A$1,"Low","D",,"141")</f>
        <v/>
      </c>
      <c r="E145" s="12" t="str">
        <f>RTD("esrtd",,"*H",$A$1,"Last","D",,"141")</f>
        <v/>
      </c>
    </row>
    <row r="146" spans="1:5" x14ac:dyDescent="0.25">
      <c r="A146" s="11" t="str">
        <f>RTD("esrtd",,"*H",$A$1,"BarTime","D",,"142")</f>
        <v/>
      </c>
      <c r="B146" s="12" t="str">
        <f>RTD("esrtd",,"*H",$A$1,"Open","D",,"142")</f>
        <v/>
      </c>
      <c r="C146" s="12" t="str">
        <f>RTD("esrtd",,"*H",$A$1,"High","D",,"142")</f>
        <v/>
      </c>
      <c r="D146" s="12" t="str">
        <f>RTD("esrtd",,"*H",$A$1,"Low","D",,"142")</f>
        <v/>
      </c>
      <c r="E146" s="12" t="str">
        <f>RTD("esrtd",,"*H",$A$1,"Last","D",,"142")</f>
        <v/>
      </c>
    </row>
    <row r="147" spans="1:5" x14ac:dyDescent="0.25">
      <c r="A147" s="11" t="str">
        <f>RTD("esrtd",,"*H",$A$1,"BarTime","D",,"143")</f>
        <v/>
      </c>
      <c r="B147" s="12" t="str">
        <f>RTD("esrtd",,"*H",$A$1,"Open","D",,"143")</f>
        <v/>
      </c>
      <c r="C147" s="12" t="str">
        <f>RTD("esrtd",,"*H",$A$1,"High","D",,"143")</f>
        <v/>
      </c>
      <c r="D147" s="12" t="str">
        <f>RTD("esrtd",,"*H",$A$1,"Low","D",,"143")</f>
        <v/>
      </c>
      <c r="E147" s="12" t="str">
        <f>RTD("esrtd",,"*H",$A$1,"Last","D",,"143")</f>
        <v/>
      </c>
    </row>
    <row r="148" spans="1:5" x14ac:dyDescent="0.25">
      <c r="A148" s="11" t="str">
        <f>RTD("esrtd",,"*H",$A$1,"BarTime","D",,"144")</f>
        <v/>
      </c>
      <c r="B148" s="12" t="str">
        <f>RTD("esrtd",,"*H",$A$1,"Open","D",,"144")</f>
        <v/>
      </c>
      <c r="C148" s="12" t="str">
        <f>RTD("esrtd",,"*H",$A$1,"High","D",,"144")</f>
        <v/>
      </c>
      <c r="D148" s="12" t="str">
        <f>RTD("esrtd",,"*H",$A$1,"Low","D",,"144")</f>
        <v/>
      </c>
      <c r="E148" s="12" t="str">
        <f>RTD("esrtd",,"*H",$A$1,"Last","D",,"144")</f>
        <v/>
      </c>
    </row>
    <row r="149" spans="1:5" x14ac:dyDescent="0.25">
      <c r="A149" s="11" t="str">
        <f>RTD("esrtd",,"*H",$A$1,"BarTime","D",,"145")</f>
        <v/>
      </c>
      <c r="B149" s="12" t="str">
        <f>RTD("esrtd",,"*H",$A$1,"Open","D",,"145")</f>
        <v/>
      </c>
      <c r="C149" s="12" t="str">
        <f>RTD("esrtd",,"*H",$A$1,"High","D",,"145")</f>
        <v/>
      </c>
      <c r="D149" s="12" t="str">
        <f>RTD("esrtd",,"*H",$A$1,"Low","D",,"145")</f>
        <v/>
      </c>
      <c r="E149" s="12" t="str">
        <f>RTD("esrtd",,"*H",$A$1,"Last","D",,"145")</f>
        <v/>
      </c>
    </row>
    <row r="150" spans="1:5" x14ac:dyDescent="0.25">
      <c r="A150" s="11" t="str">
        <f>RTD("esrtd",,"*H",$A$1,"BarTime","D",,"146")</f>
        <v/>
      </c>
      <c r="B150" s="12" t="str">
        <f>RTD("esrtd",,"*H",$A$1,"Open","D",,"146")</f>
        <v/>
      </c>
      <c r="C150" s="12" t="str">
        <f>RTD("esrtd",,"*H",$A$1,"High","D",,"146")</f>
        <v/>
      </c>
      <c r="D150" s="12" t="str">
        <f>RTD("esrtd",,"*H",$A$1,"Low","D",,"146")</f>
        <v/>
      </c>
      <c r="E150" s="12" t="str">
        <f>RTD("esrtd",,"*H",$A$1,"Last","D",,"146")</f>
        <v/>
      </c>
    </row>
    <row r="151" spans="1:5" x14ac:dyDescent="0.25">
      <c r="A151" s="11" t="str">
        <f>RTD("esrtd",,"*H",$A$1,"BarTime","D",,"147")</f>
        <v/>
      </c>
      <c r="B151" s="12" t="str">
        <f>RTD("esrtd",,"*H",$A$1,"Open","D",,"147")</f>
        <v/>
      </c>
      <c r="C151" s="12" t="str">
        <f>RTD("esrtd",,"*H",$A$1,"High","D",,"147")</f>
        <v/>
      </c>
      <c r="D151" s="12" t="str">
        <f>RTD("esrtd",,"*H",$A$1,"Low","D",,"147")</f>
        <v/>
      </c>
      <c r="E151" s="12" t="str">
        <f>RTD("esrtd",,"*H",$A$1,"Last","D",,"147")</f>
        <v/>
      </c>
    </row>
    <row r="152" spans="1:5" x14ac:dyDescent="0.25">
      <c r="A152" s="11" t="str">
        <f>RTD("esrtd",,"*H",$A$1,"BarTime","D",,"148")</f>
        <v/>
      </c>
      <c r="B152" s="12" t="str">
        <f>RTD("esrtd",,"*H",$A$1,"Open","D",,"148")</f>
        <v/>
      </c>
      <c r="C152" s="12" t="str">
        <f>RTD("esrtd",,"*H",$A$1,"High","D",,"148")</f>
        <v/>
      </c>
      <c r="D152" s="12" t="str">
        <f>RTD("esrtd",,"*H",$A$1,"Low","D",,"148")</f>
        <v/>
      </c>
      <c r="E152" s="12" t="str">
        <f>RTD("esrtd",,"*H",$A$1,"Last","D",,"148")</f>
        <v/>
      </c>
    </row>
    <row r="153" spans="1:5" x14ac:dyDescent="0.25">
      <c r="A153" s="11" t="str">
        <f>RTD("esrtd",,"*H",$A$1,"BarTime","D",,"149")</f>
        <v/>
      </c>
      <c r="B153" s="12" t="str">
        <f>RTD("esrtd",,"*H",$A$1,"Open","D",,"149")</f>
        <v/>
      </c>
      <c r="C153" s="12" t="str">
        <f>RTD("esrtd",,"*H",$A$1,"High","D",,"149")</f>
        <v/>
      </c>
      <c r="D153" s="12" t="str">
        <f>RTD("esrtd",,"*H",$A$1,"Low","D",,"149")</f>
        <v/>
      </c>
      <c r="E153" s="12" t="str">
        <f>RTD("esrtd",,"*H",$A$1,"Last","D",,"149")</f>
        <v/>
      </c>
    </row>
    <row r="154" spans="1:5" x14ac:dyDescent="0.25">
      <c r="A154" s="11" t="str">
        <f>RTD("esrtd",,"*H",$A$1,"BarTime","D",,"150")</f>
        <v/>
      </c>
      <c r="B154" s="12" t="str">
        <f>RTD("esrtd",,"*H",$A$1,"Open","D",,"150")</f>
        <v/>
      </c>
      <c r="C154" s="12" t="str">
        <f>RTD("esrtd",,"*H",$A$1,"High","D",,"150")</f>
        <v/>
      </c>
      <c r="D154" s="12" t="str">
        <f>RTD("esrtd",,"*H",$A$1,"Low","D",,"150")</f>
        <v/>
      </c>
      <c r="E154" s="12" t="str">
        <f>RTD("esrtd",,"*H",$A$1,"Last","D",,"150")</f>
        <v/>
      </c>
    </row>
    <row r="155" spans="1:5" x14ac:dyDescent="0.25">
      <c r="A155" s="11" t="str">
        <f>RTD("esrtd",,"*H",$A$1,"BarTime","D",,"151")</f>
        <v/>
      </c>
      <c r="B155" s="12" t="str">
        <f>RTD("esrtd",,"*H",$A$1,"Open","D",,"151")</f>
        <v/>
      </c>
      <c r="C155" s="12" t="str">
        <f>RTD("esrtd",,"*H",$A$1,"High","D",,"151")</f>
        <v/>
      </c>
      <c r="D155" s="12" t="str">
        <f>RTD("esrtd",,"*H",$A$1,"Low","D",,"151")</f>
        <v/>
      </c>
      <c r="E155" s="12" t="str">
        <f>RTD("esrtd",,"*H",$A$1,"Last","D",,"151")</f>
        <v/>
      </c>
    </row>
    <row r="156" spans="1:5" x14ac:dyDescent="0.25">
      <c r="A156" s="11" t="str">
        <f>RTD("esrtd",,"*H",$A$1,"BarTime","D",,"152")</f>
        <v/>
      </c>
      <c r="B156" s="12" t="str">
        <f>RTD("esrtd",,"*H",$A$1,"Open","D",,"152")</f>
        <v/>
      </c>
      <c r="C156" s="12" t="str">
        <f>RTD("esrtd",,"*H",$A$1,"High","D",,"152")</f>
        <v/>
      </c>
      <c r="D156" s="12" t="str">
        <f>RTD("esrtd",,"*H",$A$1,"Low","D",,"152")</f>
        <v/>
      </c>
      <c r="E156" s="12" t="str">
        <f>RTD("esrtd",,"*H",$A$1,"Last","D",,"152")</f>
        <v/>
      </c>
    </row>
    <row r="157" spans="1:5" x14ac:dyDescent="0.25">
      <c r="A157" s="11" t="str">
        <f>RTD("esrtd",,"*H",$A$1,"BarTime","D",,"153")</f>
        <v/>
      </c>
      <c r="B157" s="12" t="str">
        <f>RTD("esrtd",,"*H",$A$1,"Open","D",,"153")</f>
        <v/>
      </c>
      <c r="C157" s="12" t="str">
        <f>RTD("esrtd",,"*H",$A$1,"High","D",,"153")</f>
        <v/>
      </c>
      <c r="D157" s="12" t="str">
        <f>RTD("esrtd",,"*H",$A$1,"Low","D",,"153")</f>
        <v/>
      </c>
      <c r="E157" s="12" t="str">
        <f>RTD("esrtd",,"*H",$A$1,"Last","D",,"153")</f>
        <v/>
      </c>
    </row>
    <row r="158" spans="1:5" x14ac:dyDescent="0.25">
      <c r="A158" s="11" t="str">
        <f>RTD("esrtd",,"*H",$A$1,"BarTime","D",,"154")</f>
        <v/>
      </c>
      <c r="B158" s="12" t="str">
        <f>RTD("esrtd",,"*H",$A$1,"Open","D",,"154")</f>
        <v/>
      </c>
      <c r="C158" s="12" t="str">
        <f>RTD("esrtd",,"*H",$A$1,"High","D",,"154")</f>
        <v/>
      </c>
      <c r="D158" s="12" t="str">
        <f>RTD("esrtd",,"*H",$A$1,"Low","D",,"154")</f>
        <v/>
      </c>
      <c r="E158" s="12" t="str">
        <f>RTD("esrtd",,"*H",$A$1,"Last","D",,"154")</f>
        <v/>
      </c>
    </row>
    <row r="159" spans="1:5" x14ac:dyDescent="0.25">
      <c r="A159" s="11" t="str">
        <f>RTD("esrtd",,"*H",$A$1,"BarTime","D",,"155")</f>
        <v/>
      </c>
      <c r="B159" s="12" t="str">
        <f>RTD("esrtd",,"*H",$A$1,"Open","D",,"155")</f>
        <v/>
      </c>
      <c r="C159" s="12" t="str">
        <f>RTD("esrtd",,"*H",$A$1,"High","D",,"155")</f>
        <v/>
      </c>
      <c r="D159" s="12" t="str">
        <f>RTD("esrtd",,"*H",$A$1,"Low","D",,"155")</f>
        <v/>
      </c>
      <c r="E159" s="12" t="str">
        <f>RTD("esrtd",,"*H",$A$1,"Last","D",,"155")</f>
        <v/>
      </c>
    </row>
    <row r="160" spans="1:5" x14ac:dyDescent="0.25">
      <c r="A160" s="11" t="str">
        <f>RTD("esrtd",,"*H",$A$1,"BarTime","D",,"156")</f>
        <v/>
      </c>
      <c r="B160" s="12" t="str">
        <f>RTD("esrtd",,"*H",$A$1,"Open","D",,"156")</f>
        <v/>
      </c>
      <c r="C160" s="12" t="str">
        <f>RTD("esrtd",,"*H",$A$1,"High","D",,"156")</f>
        <v/>
      </c>
      <c r="D160" s="12" t="str">
        <f>RTD("esrtd",,"*H",$A$1,"Low","D",,"156")</f>
        <v/>
      </c>
      <c r="E160" s="12" t="str">
        <f>RTD("esrtd",,"*H",$A$1,"Last","D",,"156")</f>
        <v/>
      </c>
    </row>
    <row r="161" spans="1:5" x14ac:dyDescent="0.25">
      <c r="A161" s="11" t="str">
        <f>RTD("esrtd",,"*H",$A$1,"BarTime","D",,"157")</f>
        <v/>
      </c>
      <c r="B161" s="12" t="str">
        <f>RTD("esrtd",,"*H",$A$1,"Open","D",,"157")</f>
        <v/>
      </c>
      <c r="C161" s="12" t="str">
        <f>RTD("esrtd",,"*H",$A$1,"High","D",,"157")</f>
        <v/>
      </c>
      <c r="D161" s="12" t="str">
        <f>RTD("esrtd",,"*H",$A$1,"Low","D",,"157")</f>
        <v/>
      </c>
      <c r="E161" s="12" t="str">
        <f>RTD("esrtd",,"*H",$A$1,"Last","D",,"157")</f>
        <v/>
      </c>
    </row>
    <row r="162" spans="1:5" x14ac:dyDescent="0.25">
      <c r="A162" s="11" t="str">
        <f>RTD("esrtd",,"*H",$A$1,"BarTime","D",,"158")</f>
        <v/>
      </c>
      <c r="B162" s="12" t="str">
        <f>RTD("esrtd",,"*H",$A$1,"Open","D",,"158")</f>
        <v/>
      </c>
      <c r="C162" s="12" t="str">
        <f>RTD("esrtd",,"*H",$A$1,"High","D",,"158")</f>
        <v/>
      </c>
      <c r="D162" s="12" t="str">
        <f>RTD("esrtd",,"*H",$A$1,"Low","D",,"158")</f>
        <v/>
      </c>
      <c r="E162" s="12" t="str">
        <f>RTD("esrtd",,"*H",$A$1,"Last","D",,"158")</f>
        <v/>
      </c>
    </row>
    <row r="163" spans="1:5" x14ac:dyDescent="0.25">
      <c r="A163" s="11" t="str">
        <f>RTD("esrtd",,"*H",$A$1,"BarTime","D",,"159")</f>
        <v/>
      </c>
      <c r="B163" s="12" t="str">
        <f>RTD("esrtd",,"*H",$A$1,"Open","D",,"159")</f>
        <v/>
      </c>
      <c r="C163" s="12" t="str">
        <f>RTD("esrtd",,"*H",$A$1,"High","D",,"159")</f>
        <v/>
      </c>
      <c r="D163" s="12" t="str">
        <f>RTD("esrtd",,"*H",$A$1,"Low","D",,"159")</f>
        <v/>
      </c>
      <c r="E163" s="12" t="str">
        <f>RTD("esrtd",,"*H",$A$1,"Last","D",,"159")</f>
        <v/>
      </c>
    </row>
    <row r="164" spans="1:5" x14ac:dyDescent="0.25">
      <c r="A164" s="11" t="str">
        <f>RTD("esrtd",,"*H",$A$1,"BarTime","D",,"160")</f>
        <v/>
      </c>
      <c r="B164" s="12" t="str">
        <f>RTD("esrtd",,"*H",$A$1,"Open","D",,"160")</f>
        <v/>
      </c>
      <c r="C164" s="12" t="str">
        <f>RTD("esrtd",,"*H",$A$1,"High","D",,"160")</f>
        <v/>
      </c>
      <c r="D164" s="12" t="str">
        <f>RTD("esrtd",,"*H",$A$1,"Low","D",,"160")</f>
        <v/>
      </c>
      <c r="E164" s="12" t="str">
        <f>RTD("esrtd",,"*H",$A$1,"Last","D",,"160")</f>
        <v/>
      </c>
    </row>
    <row r="165" spans="1:5" x14ac:dyDescent="0.25">
      <c r="A165" s="11" t="str">
        <f>RTD("esrtd",,"*H",$A$1,"BarTime","D",,"161")</f>
        <v/>
      </c>
      <c r="B165" s="12" t="str">
        <f>RTD("esrtd",,"*H",$A$1,"Open","D",,"161")</f>
        <v/>
      </c>
      <c r="C165" s="12" t="str">
        <f>RTD("esrtd",,"*H",$A$1,"High","D",,"161")</f>
        <v/>
      </c>
      <c r="D165" s="12" t="str">
        <f>RTD("esrtd",,"*H",$A$1,"Low","D",,"161")</f>
        <v/>
      </c>
      <c r="E165" s="12" t="str">
        <f>RTD("esrtd",,"*H",$A$1,"Last","D",,"161")</f>
        <v/>
      </c>
    </row>
    <row r="166" spans="1:5" x14ac:dyDescent="0.25">
      <c r="A166" s="11" t="str">
        <f>RTD("esrtd",,"*H",$A$1,"BarTime","D",,"162")</f>
        <v/>
      </c>
      <c r="B166" s="12" t="str">
        <f>RTD("esrtd",,"*H",$A$1,"Open","D",,"162")</f>
        <v/>
      </c>
      <c r="C166" s="12" t="str">
        <f>RTD("esrtd",,"*H",$A$1,"High","D",,"162")</f>
        <v/>
      </c>
      <c r="D166" s="12" t="str">
        <f>RTD("esrtd",,"*H",$A$1,"Low","D",,"162")</f>
        <v/>
      </c>
      <c r="E166" s="12" t="str">
        <f>RTD("esrtd",,"*H",$A$1,"Last","D",,"162")</f>
        <v/>
      </c>
    </row>
    <row r="167" spans="1:5" x14ac:dyDescent="0.25">
      <c r="A167" s="11" t="str">
        <f>RTD("esrtd",,"*H",$A$1,"BarTime","D",,"163")</f>
        <v/>
      </c>
      <c r="B167" s="12" t="str">
        <f>RTD("esrtd",,"*H",$A$1,"Open","D",,"163")</f>
        <v/>
      </c>
      <c r="C167" s="12" t="str">
        <f>RTD("esrtd",,"*H",$A$1,"High","D",,"163")</f>
        <v/>
      </c>
      <c r="D167" s="12" t="str">
        <f>RTD("esrtd",,"*H",$A$1,"Low","D",,"163")</f>
        <v/>
      </c>
      <c r="E167" s="12" t="str">
        <f>RTD("esrtd",,"*H",$A$1,"Last","D",,"163")</f>
        <v/>
      </c>
    </row>
    <row r="168" spans="1:5" x14ac:dyDescent="0.25">
      <c r="A168" s="11" t="str">
        <f>RTD("esrtd",,"*H",$A$1,"BarTime","D",,"164")</f>
        <v/>
      </c>
      <c r="B168" s="12" t="str">
        <f>RTD("esrtd",,"*H",$A$1,"Open","D",,"164")</f>
        <v/>
      </c>
      <c r="C168" s="12" t="str">
        <f>RTD("esrtd",,"*H",$A$1,"High","D",,"164")</f>
        <v/>
      </c>
      <c r="D168" s="12" t="str">
        <f>RTD("esrtd",,"*H",$A$1,"Low","D",,"164")</f>
        <v/>
      </c>
      <c r="E168" s="12" t="str">
        <f>RTD("esrtd",,"*H",$A$1,"Last","D",,"164")</f>
        <v/>
      </c>
    </row>
    <row r="169" spans="1:5" x14ac:dyDescent="0.25">
      <c r="A169" s="13" t="str">
        <f>RTD("esrtd",,"*H",$A$1,"BarTime","D",,"165")</f>
        <v/>
      </c>
      <c r="B169" s="14" t="str">
        <f>RTD("esrtd",,"*H",$A$1,"Open","D",,"165")</f>
        <v/>
      </c>
      <c r="C169" s="14" t="str">
        <f>RTD("esrtd",,"*H",$A$1,"High","D",,"165")</f>
        <v/>
      </c>
      <c r="D169" s="14" t="str">
        <f>RTD("esrtd",,"*H",$A$1,"Low","D",,"165")</f>
        <v/>
      </c>
      <c r="E169" s="14" t="str">
        <f>RTD("esrtd",,"*H",$A$1,"Last","D",,"165")</f>
        <v/>
      </c>
    </row>
    <row r="170" spans="1:5" x14ac:dyDescent="0.25">
      <c r="A170" s="13" t="str">
        <f>RTD("esrtd",,"*H",$A$1,"BarTime","D",,"166")</f>
        <v/>
      </c>
      <c r="B170" s="14" t="str">
        <f>RTD("esrtd",,"*H",$A$1,"Open","D",,"166")</f>
        <v/>
      </c>
      <c r="C170" s="14" t="str">
        <f>RTD("esrtd",,"*H",$A$1,"High","D",,"166")</f>
        <v/>
      </c>
      <c r="D170" s="14" t="str">
        <f>RTD("esrtd",,"*H",$A$1,"Low","D",,"166")</f>
        <v/>
      </c>
      <c r="E170" s="14" t="str">
        <f>RTD("esrtd",,"*H",$A$1,"Last","D",,"166")</f>
        <v/>
      </c>
    </row>
    <row r="171" spans="1:5" x14ac:dyDescent="0.25">
      <c r="A171" s="13" t="str">
        <f>RTD("esrtd",,"*H",$A$1,"BarTime","D",,"167")</f>
        <v/>
      </c>
      <c r="B171" s="14" t="str">
        <f>RTD("esrtd",,"*H",$A$1,"Open","D",,"167")</f>
        <v/>
      </c>
      <c r="C171" s="14" t="str">
        <f>RTD("esrtd",,"*H",$A$1,"High","D",,"167")</f>
        <v/>
      </c>
      <c r="D171" s="14" t="str">
        <f>RTD("esrtd",,"*H",$A$1,"Low","D",,"167")</f>
        <v/>
      </c>
      <c r="E171" s="14" t="str">
        <f>RTD("esrtd",,"*H",$A$1,"Last","D",,"167")</f>
        <v/>
      </c>
    </row>
    <row r="172" spans="1:5" x14ac:dyDescent="0.25">
      <c r="A172" s="13" t="str">
        <f>RTD("esrtd",,"*H",$A$1,"BarTime","D",,"168")</f>
        <v/>
      </c>
      <c r="B172" s="14" t="str">
        <f>RTD("esrtd",,"*H",$A$1,"Open","D",,"168")</f>
        <v/>
      </c>
      <c r="C172" s="14" t="str">
        <f>RTD("esrtd",,"*H",$A$1,"High","D",,"168")</f>
        <v/>
      </c>
      <c r="D172" s="14" t="str">
        <f>RTD("esrtd",,"*H",$A$1,"Low","D",,"168")</f>
        <v/>
      </c>
      <c r="E172" s="14" t="str">
        <f>RTD("esrtd",,"*H",$A$1,"Last","D",,"168")</f>
        <v/>
      </c>
    </row>
    <row r="173" spans="1:5" x14ac:dyDescent="0.25">
      <c r="A173" s="13" t="str">
        <f>RTD("esrtd",,"*H",$A$1,"BarTime","D",,"169")</f>
        <v/>
      </c>
      <c r="B173" s="14" t="str">
        <f>RTD("esrtd",,"*H",$A$1,"Open","D",,"169")</f>
        <v/>
      </c>
      <c r="C173" s="14" t="str">
        <f>RTD("esrtd",,"*H",$A$1,"High","D",,"169")</f>
        <v/>
      </c>
      <c r="D173" s="14" t="str">
        <f>RTD("esrtd",,"*H",$A$1,"Low","D",,"169")</f>
        <v/>
      </c>
      <c r="E173" s="14" t="str">
        <f>RTD("esrtd",,"*H",$A$1,"Last","D",,"169")</f>
        <v/>
      </c>
    </row>
    <row r="174" spans="1:5" x14ac:dyDescent="0.25">
      <c r="A174" s="13" t="str">
        <f>RTD("esrtd",,"*H",$A$1,"BarTime","D",,"170")</f>
        <v/>
      </c>
      <c r="B174" s="14" t="str">
        <f>RTD("esrtd",,"*H",$A$1,"Open","D",,"170")</f>
        <v/>
      </c>
      <c r="C174" s="14" t="str">
        <f>RTD("esrtd",,"*H",$A$1,"High","D",,"170")</f>
        <v/>
      </c>
      <c r="D174" s="14" t="str">
        <f>RTD("esrtd",,"*H",$A$1,"Low","D",,"170")</f>
        <v/>
      </c>
      <c r="E174" s="14" t="str">
        <f>RTD("esrtd",,"*H",$A$1,"Last","D",,"170")</f>
        <v/>
      </c>
    </row>
    <row r="175" spans="1:5" x14ac:dyDescent="0.25">
      <c r="A175" s="13" t="str">
        <f>RTD("esrtd",,"*H",$A$1,"BarTime","D",,"171")</f>
        <v/>
      </c>
      <c r="B175" s="14" t="str">
        <f>RTD("esrtd",,"*H",$A$1,"Open","D",,"171")</f>
        <v/>
      </c>
      <c r="C175" s="14" t="str">
        <f>RTD("esrtd",,"*H",$A$1,"High","D",,"171")</f>
        <v/>
      </c>
      <c r="D175" s="14" t="str">
        <f>RTD("esrtd",,"*H",$A$1,"Low","D",,"171")</f>
        <v/>
      </c>
      <c r="E175" s="14" t="str">
        <f>RTD("esrtd",,"*H",$A$1,"Last","D",,"171")</f>
        <v/>
      </c>
    </row>
    <row r="176" spans="1:5" x14ac:dyDescent="0.25">
      <c r="A176" s="13" t="str">
        <f>RTD("esrtd",,"*H",$A$1,"BarTime","D",,"172")</f>
        <v/>
      </c>
      <c r="B176" s="14" t="str">
        <f>RTD("esrtd",,"*H",$A$1,"Open","D",,"172")</f>
        <v/>
      </c>
      <c r="C176" s="14" t="str">
        <f>RTD("esrtd",,"*H",$A$1,"High","D",,"172")</f>
        <v/>
      </c>
      <c r="D176" s="14" t="str">
        <f>RTD("esrtd",,"*H",$A$1,"Low","D",,"172")</f>
        <v/>
      </c>
      <c r="E176" s="14" t="str">
        <f>RTD("esrtd",,"*H",$A$1,"Last","D",,"172")</f>
        <v/>
      </c>
    </row>
    <row r="177" spans="1:5" x14ac:dyDescent="0.25">
      <c r="A177" s="13" t="str">
        <f>RTD("esrtd",,"*H",$A$1,"BarTime","D",,"173")</f>
        <v/>
      </c>
      <c r="B177" s="14" t="str">
        <f>RTD("esrtd",,"*H",$A$1,"Open","D",,"173")</f>
        <v/>
      </c>
      <c r="C177" s="14" t="str">
        <f>RTD("esrtd",,"*H",$A$1,"High","D",,"173")</f>
        <v/>
      </c>
      <c r="D177" s="14" t="str">
        <f>RTD("esrtd",,"*H",$A$1,"Low","D",,"173")</f>
        <v/>
      </c>
      <c r="E177" s="14" t="str">
        <f>RTD("esrtd",,"*H",$A$1,"Last","D",,"173")</f>
        <v/>
      </c>
    </row>
    <row r="178" spans="1:5" x14ac:dyDescent="0.25">
      <c r="A178" s="13" t="str">
        <f>RTD("esrtd",,"*H",$A$1,"BarTime","D",,"174")</f>
        <v/>
      </c>
      <c r="B178" s="14" t="str">
        <f>RTD("esrtd",,"*H",$A$1,"Open","D",,"174")</f>
        <v/>
      </c>
      <c r="C178" s="14" t="str">
        <f>RTD("esrtd",,"*H",$A$1,"High","D",,"174")</f>
        <v/>
      </c>
      <c r="D178" s="14" t="str">
        <f>RTD("esrtd",,"*H",$A$1,"Low","D",,"174")</f>
        <v/>
      </c>
      <c r="E178" s="14" t="str">
        <f>RTD("esrtd",,"*H",$A$1,"Last","D",,"174")</f>
        <v/>
      </c>
    </row>
    <row r="179" spans="1:5" x14ac:dyDescent="0.25">
      <c r="A179" s="13" t="str">
        <f>RTD("esrtd",,"*H",$A$1,"BarTime","D",,"175")</f>
        <v/>
      </c>
      <c r="B179" s="14" t="str">
        <f>RTD("esrtd",,"*H",$A$1,"Open","D",,"175")</f>
        <v/>
      </c>
      <c r="C179" s="14" t="str">
        <f>RTD("esrtd",,"*H",$A$1,"High","D",,"175")</f>
        <v/>
      </c>
      <c r="D179" s="14" t="str">
        <f>RTD("esrtd",,"*H",$A$1,"Low","D",,"175")</f>
        <v/>
      </c>
      <c r="E179" s="14" t="str">
        <f>RTD("esrtd",,"*H",$A$1,"Last","D",,"175")</f>
        <v/>
      </c>
    </row>
    <row r="180" spans="1:5" x14ac:dyDescent="0.25">
      <c r="A180" s="13" t="str">
        <f>RTD("esrtd",,"*H",$A$1,"BarTime","D",,"176")</f>
        <v/>
      </c>
      <c r="B180" s="14" t="str">
        <f>RTD("esrtd",,"*H",$A$1,"Open","D",,"176")</f>
        <v/>
      </c>
      <c r="C180" s="14" t="str">
        <f>RTD("esrtd",,"*H",$A$1,"High","D",,"176")</f>
        <v/>
      </c>
      <c r="D180" s="14" t="str">
        <f>RTD("esrtd",,"*H",$A$1,"Low","D",,"176")</f>
        <v/>
      </c>
      <c r="E180" s="14" t="str">
        <f>RTD("esrtd",,"*H",$A$1,"Last","D",,"176")</f>
        <v/>
      </c>
    </row>
    <row r="181" spans="1:5" x14ac:dyDescent="0.25">
      <c r="A181" s="13" t="str">
        <f>RTD("esrtd",,"*H",$A$1,"BarTime","D",,"177")</f>
        <v/>
      </c>
      <c r="B181" s="14" t="str">
        <f>RTD("esrtd",,"*H",$A$1,"Open","D",,"177")</f>
        <v/>
      </c>
      <c r="C181" s="14" t="str">
        <f>RTD("esrtd",,"*H",$A$1,"High","D",,"177")</f>
        <v/>
      </c>
      <c r="D181" s="14" t="str">
        <f>RTD("esrtd",,"*H",$A$1,"Low","D",,"177")</f>
        <v/>
      </c>
      <c r="E181" s="14" t="str">
        <f>RTD("esrtd",,"*H",$A$1,"Last","D",,"177")</f>
        <v/>
      </c>
    </row>
    <row r="182" spans="1:5" x14ac:dyDescent="0.25">
      <c r="A182" s="13" t="str">
        <f>RTD("esrtd",,"*H",$A$1,"BarTime","D",,"178")</f>
        <v/>
      </c>
      <c r="B182" s="14" t="str">
        <f>RTD("esrtd",,"*H",$A$1,"Open","D",,"178")</f>
        <v/>
      </c>
      <c r="C182" s="14" t="str">
        <f>RTD("esrtd",,"*H",$A$1,"High","D",,"178")</f>
        <v/>
      </c>
      <c r="D182" s="14" t="str">
        <f>RTD("esrtd",,"*H",$A$1,"Low","D",,"178")</f>
        <v/>
      </c>
      <c r="E182" s="14" t="str">
        <f>RTD("esrtd",,"*H",$A$1,"Last","D",,"178")</f>
        <v/>
      </c>
    </row>
    <row r="183" spans="1:5" x14ac:dyDescent="0.25">
      <c r="A183" s="13" t="str">
        <f>RTD("esrtd",,"*H",$A$1,"BarTime","D",,"179")</f>
        <v/>
      </c>
      <c r="B183" s="14" t="str">
        <f>RTD("esrtd",,"*H",$A$1,"Open","D",,"179")</f>
        <v/>
      </c>
      <c r="C183" s="14" t="str">
        <f>RTD("esrtd",,"*H",$A$1,"High","D",,"179")</f>
        <v/>
      </c>
      <c r="D183" s="14" t="str">
        <f>RTD("esrtd",,"*H",$A$1,"Low","D",,"179")</f>
        <v/>
      </c>
      <c r="E183" s="14" t="str">
        <f>RTD("esrtd",,"*H",$A$1,"Last","D",,"179")</f>
        <v/>
      </c>
    </row>
    <row r="184" spans="1:5" x14ac:dyDescent="0.25">
      <c r="A184" s="13" t="str">
        <f>RTD("esrtd",,"*H",$A$1,"BarTime","D",,"180")</f>
        <v/>
      </c>
      <c r="B184" s="14" t="str">
        <f>RTD("esrtd",,"*H",$A$1,"Open","D",,"180")</f>
        <v/>
      </c>
      <c r="C184" s="14" t="str">
        <f>RTD("esrtd",,"*H",$A$1,"High","D",,"180")</f>
        <v/>
      </c>
      <c r="D184" s="14" t="str">
        <f>RTD("esrtd",,"*H",$A$1,"Low","D",,"180")</f>
        <v/>
      </c>
      <c r="E184" s="14" t="str">
        <f>RTD("esrtd",,"*H",$A$1,"Last","D",,"180")</f>
        <v/>
      </c>
    </row>
    <row r="185" spans="1:5" x14ac:dyDescent="0.25">
      <c r="A185" s="13" t="str">
        <f>RTD("esrtd",,"*H",$A$1,"BarTime","D",,"181")</f>
        <v/>
      </c>
      <c r="B185" s="14" t="str">
        <f>RTD("esrtd",,"*H",$A$1,"Open","D",,"181")</f>
        <v/>
      </c>
      <c r="C185" s="14" t="str">
        <f>RTD("esrtd",,"*H",$A$1,"High","D",,"181")</f>
        <v/>
      </c>
      <c r="D185" s="14" t="str">
        <f>RTD("esrtd",,"*H",$A$1,"Low","D",,"181")</f>
        <v/>
      </c>
      <c r="E185" s="14" t="str">
        <f>RTD("esrtd",,"*H",$A$1,"Last","D",,"181")</f>
        <v/>
      </c>
    </row>
    <row r="186" spans="1:5" x14ac:dyDescent="0.25">
      <c r="A186" s="13" t="str">
        <f>RTD("esrtd",,"*H",$A$1,"BarTime","D",,"182")</f>
        <v/>
      </c>
      <c r="B186" s="14" t="str">
        <f>RTD("esrtd",,"*H",$A$1,"Open","D",,"182")</f>
        <v/>
      </c>
      <c r="C186" s="14" t="str">
        <f>RTD("esrtd",,"*H",$A$1,"High","D",,"182")</f>
        <v/>
      </c>
      <c r="D186" s="14" t="str">
        <f>RTD("esrtd",,"*H",$A$1,"Low","D",,"182")</f>
        <v/>
      </c>
      <c r="E186" s="14" t="str">
        <f>RTD("esrtd",,"*H",$A$1,"Last","D",,"182")</f>
        <v/>
      </c>
    </row>
    <row r="187" spans="1:5" x14ac:dyDescent="0.25">
      <c r="A187" s="13" t="str">
        <f>RTD("esrtd",,"*H",$A$1,"BarTime","D",,"183")</f>
        <v/>
      </c>
      <c r="B187" s="14" t="str">
        <f>RTD("esrtd",,"*H",$A$1,"Open","D",,"183")</f>
        <v/>
      </c>
      <c r="C187" s="14" t="str">
        <f>RTD("esrtd",,"*H",$A$1,"High","D",,"183")</f>
        <v/>
      </c>
      <c r="D187" s="14" t="str">
        <f>RTD("esrtd",,"*H",$A$1,"Low","D",,"183")</f>
        <v/>
      </c>
      <c r="E187" s="14" t="str">
        <f>RTD("esrtd",,"*H",$A$1,"Last","D",,"183")</f>
        <v/>
      </c>
    </row>
    <row r="188" spans="1:5" x14ac:dyDescent="0.25">
      <c r="A188" s="13" t="str">
        <f>RTD("esrtd",,"*H",$A$1,"BarTime","D",,"184")</f>
        <v/>
      </c>
      <c r="B188" s="14" t="str">
        <f>RTD("esrtd",,"*H",$A$1,"Open","D",,"184")</f>
        <v/>
      </c>
      <c r="C188" s="14" t="str">
        <f>RTD("esrtd",,"*H",$A$1,"High","D",,"184")</f>
        <v/>
      </c>
      <c r="D188" s="14" t="str">
        <f>RTD("esrtd",,"*H",$A$1,"Low","D",,"184")</f>
        <v/>
      </c>
      <c r="E188" s="14" t="str">
        <f>RTD("esrtd",,"*H",$A$1,"Last","D",,"184")</f>
        <v/>
      </c>
    </row>
    <row r="189" spans="1:5" x14ac:dyDescent="0.25">
      <c r="A189" s="13" t="str">
        <f>RTD("esrtd",,"*H",$A$1,"BarTime","D",,"185")</f>
        <v/>
      </c>
      <c r="B189" s="14" t="str">
        <f>RTD("esrtd",,"*H",$A$1,"Open","D",,"185")</f>
        <v/>
      </c>
      <c r="C189" s="14" t="str">
        <f>RTD("esrtd",,"*H",$A$1,"High","D",,"185")</f>
        <v/>
      </c>
      <c r="D189" s="14" t="str">
        <f>RTD("esrtd",,"*H",$A$1,"Low","D",,"185")</f>
        <v/>
      </c>
      <c r="E189" s="14" t="str">
        <f>RTD("esrtd",,"*H",$A$1,"Last","D",,"185")</f>
        <v/>
      </c>
    </row>
    <row r="190" spans="1:5" x14ac:dyDescent="0.25">
      <c r="A190" s="13" t="str">
        <f>RTD("esrtd",,"*H",$A$1,"BarTime","D",,"186")</f>
        <v/>
      </c>
      <c r="B190" s="14" t="str">
        <f>RTD("esrtd",,"*H",$A$1,"Open","D",,"186")</f>
        <v/>
      </c>
      <c r="C190" s="14" t="str">
        <f>RTD("esrtd",,"*H",$A$1,"High","D",,"186")</f>
        <v/>
      </c>
      <c r="D190" s="14" t="str">
        <f>RTD("esrtd",,"*H",$A$1,"Low","D",,"186")</f>
        <v/>
      </c>
      <c r="E190" s="14" t="str">
        <f>RTD("esrtd",,"*H",$A$1,"Last","D",,"186")</f>
        <v/>
      </c>
    </row>
    <row r="191" spans="1:5" x14ac:dyDescent="0.25">
      <c r="A191" s="13" t="str">
        <f>RTD("esrtd",,"*H",$A$1,"BarTime","D",,"187")</f>
        <v/>
      </c>
      <c r="B191" s="14" t="str">
        <f>RTD("esrtd",,"*H",$A$1,"Open","D",,"187")</f>
        <v/>
      </c>
      <c r="C191" s="14" t="str">
        <f>RTD("esrtd",,"*H",$A$1,"High","D",,"187")</f>
        <v/>
      </c>
      <c r="D191" s="14" t="str">
        <f>RTD("esrtd",,"*H",$A$1,"Low","D",,"187")</f>
        <v/>
      </c>
      <c r="E191" s="14" t="str">
        <f>RTD("esrtd",,"*H",$A$1,"Last","D",,"187")</f>
        <v/>
      </c>
    </row>
    <row r="192" spans="1:5" x14ac:dyDescent="0.25">
      <c r="A192" s="13" t="str">
        <f>RTD("esrtd",,"*H",$A$1,"BarTime","D",,"188")</f>
        <v/>
      </c>
      <c r="B192" s="14" t="str">
        <f>RTD("esrtd",,"*H",$A$1,"Open","D",,"188")</f>
        <v/>
      </c>
      <c r="C192" s="14" t="str">
        <f>RTD("esrtd",,"*H",$A$1,"High","D",,"188")</f>
        <v/>
      </c>
      <c r="D192" s="14" t="str">
        <f>RTD("esrtd",,"*H",$A$1,"Low","D",,"188")</f>
        <v/>
      </c>
      <c r="E192" s="14" t="str">
        <f>RTD("esrtd",,"*H",$A$1,"Last","D",,"188")</f>
        <v/>
      </c>
    </row>
    <row r="193" spans="1:5" x14ac:dyDescent="0.25">
      <c r="A193" s="13" t="str">
        <f>RTD("esrtd",,"*H",$A$1,"BarTime","D",,"189")</f>
        <v/>
      </c>
      <c r="B193" s="14" t="str">
        <f>RTD("esrtd",,"*H",$A$1,"Open","D",,"189")</f>
        <v/>
      </c>
      <c r="C193" s="14" t="str">
        <f>RTD("esrtd",,"*H",$A$1,"High","D",,"189")</f>
        <v/>
      </c>
      <c r="D193" s="14" t="str">
        <f>RTD("esrtd",,"*H",$A$1,"Low","D",,"189")</f>
        <v/>
      </c>
      <c r="E193" s="14" t="str">
        <f>RTD("esrtd",,"*H",$A$1,"Last","D",,"189")</f>
        <v/>
      </c>
    </row>
    <row r="194" spans="1:5" x14ac:dyDescent="0.25">
      <c r="A194" s="13" t="str">
        <f>RTD("esrtd",,"*H",$A$1,"BarTime","D",,"190")</f>
        <v/>
      </c>
      <c r="B194" s="14" t="str">
        <f>RTD("esrtd",,"*H",$A$1,"Open","D",,"190")</f>
        <v/>
      </c>
      <c r="C194" s="14" t="str">
        <f>RTD("esrtd",,"*H",$A$1,"High","D",,"190")</f>
        <v/>
      </c>
      <c r="D194" s="14" t="str">
        <f>RTD("esrtd",,"*H",$A$1,"Low","D",,"190")</f>
        <v/>
      </c>
      <c r="E194" s="14" t="str">
        <f>RTD("esrtd",,"*H",$A$1,"Last","D",,"190")</f>
        <v/>
      </c>
    </row>
    <row r="195" spans="1:5" x14ac:dyDescent="0.25">
      <c r="A195" s="13" t="str">
        <f>RTD("esrtd",,"*H",$A$1,"BarTime","D",,"191")</f>
        <v/>
      </c>
      <c r="B195" s="14" t="str">
        <f>RTD("esrtd",,"*H",$A$1,"Open","D",,"191")</f>
        <v/>
      </c>
      <c r="C195" s="14" t="str">
        <f>RTD("esrtd",,"*H",$A$1,"High","D",,"191")</f>
        <v/>
      </c>
      <c r="D195" s="14" t="str">
        <f>RTD("esrtd",,"*H",$A$1,"Low","D",,"191")</f>
        <v/>
      </c>
      <c r="E195" s="14" t="str">
        <f>RTD("esrtd",,"*H",$A$1,"Last","D",,"191")</f>
        <v/>
      </c>
    </row>
    <row r="196" spans="1:5" x14ac:dyDescent="0.25">
      <c r="A196" s="13" t="str">
        <f>RTD("esrtd",,"*H",$A$1,"BarTime","D",,"192")</f>
        <v/>
      </c>
      <c r="B196" s="14" t="str">
        <f>RTD("esrtd",,"*H",$A$1,"Open","D",,"192")</f>
        <v/>
      </c>
      <c r="C196" s="14" t="str">
        <f>RTD("esrtd",,"*H",$A$1,"High","D",,"192")</f>
        <v/>
      </c>
      <c r="D196" s="14" t="str">
        <f>RTD("esrtd",,"*H",$A$1,"Low","D",,"192")</f>
        <v/>
      </c>
      <c r="E196" s="14" t="str">
        <f>RTD("esrtd",,"*H",$A$1,"Last","D",,"192")</f>
        <v/>
      </c>
    </row>
    <row r="197" spans="1:5" x14ac:dyDescent="0.25">
      <c r="A197" s="13" t="str">
        <f>RTD("esrtd",,"*H",$A$1,"BarTime","D",,"193")</f>
        <v/>
      </c>
      <c r="B197" s="14" t="str">
        <f>RTD("esrtd",,"*H",$A$1,"Open","D",,"193")</f>
        <v/>
      </c>
      <c r="C197" s="14" t="str">
        <f>RTD("esrtd",,"*H",$A$1,"High","D",,"193")</f>
        <v/>
      </c>
      <c r="D197" s="14" t="str">
        <f>RTD("esrtd",,"*H",$A$1,"Low","D",,"193")</f>
        <v/>
      </c>
      <c r="E197" s="14" t="str">
        <f>RTD("esrtd",,"*H",$A$1,"Last","D",,"193")</f>
        <v/>
      </c>
    </row>
    <row r="198" spans="1:5" x14ac:dyDescent="0.25">
      <c r="A198" s="13" t="str">
        <f>RTD("esrtd",,"*H",$A$1,"BarTime","D",,"194")</f>
        <v/>
      </c>
      <c r="B198" s="14" t="str">
        <f>RTD("esrtd",,"*H",$A$1,"Open","D",,"194")</f>
        <v/>
      </c>
      <c r="C198" s="14" t="str">
        <f>RTD("esrtd",,"*H",$A$1,"High","D",,"194")</f>
        <v/>
      </c>
      <c r="D198" s="14" t="str">
        <f>RTD("esrtd",,"*H",$A$1,"Low","D",,"194")</f>
        <v/>
      </c>
      <c r="E198" s="14" t="str">
        <f>RTD("esrtd",,"*H",$A$1,"Last","D",,"194")</f>
        <v/>
      </c>
    </row>
    <row r="199" spans="1:5" x14ac:dyDescent="0.25">
      <c r="A199" s="13" t="str">
        <f>RTD("esrtd",,"*H",$A$1,"BarTime","D",,"195")</f>
        <v/>
      </c>
      <c r="B199" s="14" t="str">
        <f>RTD("esrtd",,"*H",$A$1,"Open","D",,"195")</f>
        <v/>
      </c>
      <c r="C199" s="14" t="str">
        <f>RTD("esrtd",,"*H",$A$1,"High","D",,"195")</f>
        <v/>
      </c>
      <c r="D199" s="14" t="str">
        <f>RTD("esrtd",,"*H",$A$1,"Low","D",,"195")</f>
        <v/>
      </c>
      <c r="E199" s="14" t="str">
        <f>RTD("esrtd",,"*H",$A$1,"Last","D",,"195")</f>
        <v/>
      </c>
    </row>
    <row r="200" spans="1:5" x14ac:dyDescent="0.25">
      <c r="A200" s="13" t="str">
        <f>RTD("esrtd",,"*H",$A$1,"BarTime","D",,"196")</f>
        <v/>
      </c>
      <c r="B200" s="14" t="str">
        <f>RTD("esrtd",,"*H",$A$1,"Open","D",,"196")</f>
        <v/>
      </c>
      <c r="C200" s="14" t="str">
        <f>RTD("esrtd",,"*H",$A$1,"High","D",,"196")</f>
        <v/>
      </c>
      <c r="D200" s="14" t="str">
        <f>RTD("esrtd",,"*H",$A$1,"Low","D",,"196")</f>
        <v/>
      </c>
      <c r="E200" s="14" t="str">
        <f>RTD("esrtd",,"*H",$A$1,"Last","D",,"196")</f>
        <v/>
      </c>
    </row>
    <row r="201" spans="1:5" x14ac:dyDescent="0.25">
      <c r="A201" s="13" t="str">
        <f>RTD("esrtd",,"*H",$A$1,"BarTime","D",,"197")</f>
        <v/>
      </c>
      <c r="B201" s="14" t="str">
        <f>RTD("esrtd",,"*H",$A$1,"Open","D",,"197")</f>
        <v/>
      </c>
      <c r="C201" s="14" t="str">
        <f>RTD("esrtd",,"*H",$A$1,"High","D",,"197")</f>
        <v/>
      </c>
      <c r="D201" s="14" t="str">
        <f>RTD("esrtd",,"*H",$A$1,"Low","D",,"197")</f>
        <v/>
      </c>
      <c r="E201" s="14" t="str">
        <f>RTD("esrtd",,"*H",$A$1,"Last","D",,"197")</f>
        <v/>
      </c>
    </row>
    <row r="202" spans="1:5" x14ac:dyDescent="0.25">
      <c r="A202" s="13" t="str">
        <f>RTD("esrtd",,"*H",$A$1,"BarTime","D",,"198")</f>
        <v/>
      </c>
      <c r="B202" s="14" t="str">
        <f>RTD("esrtd",,"*H",$A$1,"Open","D",,"198")</f>
        <v/>
      </c>
      <c r="C202" s="14" t="str">
        <f>RTD("esrtd",,"*H",$A$1,"High","D",,"198")</f>
        <v/>
      </c>
      <c r="D202" s="14" t="str">
        <f>RTD("esrtd",,"*H",$A$1,"Low","D",,"198")</f>
        <v/>
      </c>
      <c r="E202" s="14" t="str">
        <f>RTD("esrtd",,"*H",$A$1,"Last","D",,"198")</f>
        <v/>
      </c>
    </row>
    <row r="203" spans="1:5" x14ac:dyDescent="0.25">
      <c r="A203" s="13" t="str">
        <f>RTD("esrtd",,"*H",$A$1,"BarTime","D",,"199")</f>
        <v/>
      </c>
      <c r="B203" s="14" t="str">
        <f>RTD("esrtd",,"*H",$A$1,"Open","D",,"199")</f>
        <v/>
      </c>
      <c r="C203" s="14" t="str">
        <f>RTD("esrtd",,"*H",$A$1,"High","D",,"199")</f>
        <v/>
      </c>
      <c r="D203" s="14" t="str">
        <f>RTD("esrtd",,"*H",$A$1,"Low","D",,"199")</f>
        <v/>
      </c>
      <c r="E203" s="14" t="str">
        <f>RTD("esrtd",,"*H",$A$1,"Last","D",,"199")</f>
        <v/>
      </c>
    </row>
    <row r="204" spans="1:5" x14ac:dyDescent="0.25">
      <c r="A204" s="13" t="str">
        <f>RTD("esrtd",,"*H",$A$1,"BarTime","D",,"200")</f>
        <v/>
      </c>
      <c r="B204" s="14" t="str">
        <f>RTD("esrtd",,"*H",$A$1,"Open","D",,"200")</f>
        <v/>
      </c>
      <c r="C204" s="14" t="str">
        <f>RTD("esrtd",,"*H",$A$1,"High","D",,"200")</f>
        <v/>
      </c>
      <c r="D204" s="14" t="str">
        <f>RTD("esrtd",,"*H",$A$1,"Low","D",,"200")</f>
        <v/>
      </c>
      <c r="E204" s="14" t="str">
        <f>RTD("esrtd",,"*H",$A$1,"Last","D",,"200")</f>
        <v/>
      </c>
    </row>
    <row r="205" spans="1:5" x14ac:dyDescent="0.25">
      <c r="A205" s="13" t="str">
        <f>RTD("esrtd",,"*H",$A$1,"BarTime","D",,"201")</f>
        <v/>
      </c>
      <c r="B205" s="14" t="str">
        <f>RTD("esrtd",,"*H",$A$1,"Open","D",,"201")</f>
        <v/>
      </c>
      <c r="C205" s="14" t="str">
        <f>RTD("esrtd",,"*H",$A$1,"High","D",,"201")</f>
        <v/>
      </c>
      <c r="D205" s="14" t="str">
        <f>RTD("esrtd",,"*H",$A$1,"Low","D",,"201")</f>
        <v/>
      </c>
      <c r="E205" s="14" t="str">
        <f>RTD("esrtd",,"*H",$A$1,"Last","D",,"201")</f>
        <v/>
      </c>
    </row>
    <row r="206" spans="1:5" x14ac:dyDescent="0.25">
      <c r="A206" s="13" t="str">
        <f>RTD("esrtd",,"*H",$A$1,"BarTime","D",,"202")</f>
        <v/>
      </c>
      <c r="B206" s="14" t="str">
        <f>RTD("esrtd",,"*H",$A$1,"Open","D",,"202")</f>
        <v/>
      </c>
      <c r="C206" s="14" t="str">
        <f>RTD("esrtd",,"*H",$A$1,"High","D",,"202")</f>
        <v/>
      </c>
      <c r="D206" s="14" t="str">
        <f>RTD("esrtd",,"*H",$A$1,"Low","D",,"202")</f>
        <v/>
      </c>
      <c r="E206" s="14" t="str">
        <f>RTD("esrtd",,"*H",$A$1,"Last","D",,"202")</f>
        <v/>
      </c>
    </row>
    <row r="207" spans="1:5" x14ac:dyDescent="0.25">
      <c r="A207" s="13" t="str">
        <f>RTD("esrtd",,"*H",$A$1,"BarTime","D",,"203")</f>
        <v/>
      </c>
      <c r="B207" s="14" t="str">
        <f>RTD("esrtd",,"*H",$A$1,"Open","D",,"203")</f>
        <v/>
      </c>
      <c r="C207" s="14" t="str">
        <f>RTD("esrtd",,"*H",$A$1,"High","D",,"203")</f>
        <v/>
      </c>
      <c r="D207" s="14" t="str">
        <f>RTD("esrtd",,"*H",$A$1,"Low","D",,"203")</f>
        <v/>
      </c>
      <c r="E207" s="14" t="str">
        <f>RTD("esrtd",,"*H",$A$1,"Last","D",,"203")</f>
        <v/>
      </c>
    </row>
    <row r="208" spans="1:5" x14ac:dyDescent="0.25">
      <c r="A208" s="13" t="str">
        <f>RTD("esrtd",,"*H",$A$1,"BarTime","D",,"204")</f>
        <v/>
      </c>
      <c r="B208" s="14" t="str">
        <f>RTD("esrtd",,"*H",$A$1,"Open","D",,"204")</f>
        <v/>
      </c>
      <c r="C208" s="14" t="str">
        <f>RTD("esrtd",,"*H",$A$1,"High","D",,"204")</f>
        <v/>
      </c>
      <c r="D208" s="14" t="str">
        <f>RTD("esrtd",,"*H",$A$1,"Low","D",,"204")</f>
        <v/>
      </c>
      <c r="E208" s="14" t="str">
        <f>RTD("esrtd",,"*H",$A$1,"Last","D",,"204")</f>
        <v/>
      </c>
    </row>
    <row r="209" spans="1:5" x14ac:dyDescent="0.25">
      <c r="A209" s="13" t="str">
        <f>RTD("esrtd",,"*H",$A$1,"BarTime","D",,"205")</f>
        <v/>
      </c>
      <c r="B209" s="14" t="str">
        <f>RTD("esrtd",,"*H",$A$1,"Open","D",,"205")</f>
        <v/>
      </c>
      <c r="C209" s="14" t="str">
        <f>RTD("esrtd",,"*H",$A$1,"High","D",,"205")</f>
        <v/>
      </c>
      <c r="D209" s="14" t="str">
        <f>RTD("esrtd",,"*H",$A$1,"Low","D",,"205")</f>
        <v/>
      </c>
      <c r="E209" s="14" t="str">
        <f>RTD("esrtd",,"*H",$A$1,"Last","D",,"205")</f>
        <v/>
      </c>
    </row>
    <row r="210" spans="1:5" x14ac:dyDescent="0.25">
      <c r="A210" s="13" t="str">
        <f>RTD("esrtd",,"*H",$A$1,"BarTime","D",,"206")</f>
        <v/>
      </c>
      <c r="B210" s="14" t="str">
        <f>RTD("esrtd",,"*H",$A$1,"Open","D",,"206")</f>
        <v/>
      </c>
      <c r="C210" s="14" t="str">
        <f>RTD("esrtd",,"*H",$A$1,"High","D",,"206")</f>
        <v/>
      </c>
      <c r="D210" s="14" t="str">
        <f>RTD("esrtd",,"*H",$A$1,"Low","D",,"206")</f>
        <v/>
      </c>
      <c r="E210" s="14" t="str">
        <f>RTD("esrtd",,"*H",$A$1,"Last","D",,"206")</f>
        <v/>
      </c>
    </row>
    <row r="211" spans="1:5" x14ac:dyDescent="0.25">
      <c r="A211" s="13" t="str">
        <f>RTD("esrtd",,"*H",$A$1,"BarTime","D",,"207")</f>
        <v/>
      </c>
      <c r="B211" s="14" t="str">
        <f>RTD("esrtd",,"*H",$A$1,"Open","D",,"207")</f>
        <v/>
      </c>
      <c r="C211" s="14" t="str">
        <f>RTD("esrtd",,"*H",$A$1,"High","D",,"207")</f>
        <v/>
      </c>
      <c r="D211" s="14" t="str">
        <f>RTD("esrtd",,"*H",$A$1,"Low","D",,"207")</f>
        <v/>
      </c>
      <c r="E211" s="14" t="str">
        <f>RTD("esrtd",,"*H",$A$1,"Last","D",,"207")</f>
        <v/>
      </c>
    </row>
    <row r="212" spans="1:5" x14ac:dyDescent="0.25">
      <c r="A212" s="13" t="str">
        <f>RTD("esrtd",,"*H",$A$1,"BarTime","D",,"208")</f>
        <v/>
      </c>
      <c r="B212" s="14" t="str">
        <f>RTD("esrtd",,"*H",$A$1,"Open","D",,"208")</f>
        <v/>
      </c>
      <c r="C212" s="14" t="str">
        <f>RTD("esrtd",,"*H",$A$1,"High","D",,"208")</f>
        <v/>
      </c>
      <c r="D212" s="14" t="str">
        <f>RTD("esrtd",,"*H",$A$1,"Low","D",,"208")</f>
        <v/>
      </c>
      <c r="E212" s="14" t="str">
        <f>RTD("esrtd",,"*H",$A$1,"Last","D",,"208")</f>
        <v/>
      </c>
    </row>
    <row r="213" spans="1:5" x14ac:dyDescent="0.25">
      <c r="A213" s="13" t="str">
        <f>RTD("esrtd",,"*H",$A$1,"BarTime","D",,"209")</f>
        <v/>
      </c>
      <c r="B213" s="14" t="str">
        <f>RTD("esrtd",,"*H",$A$1,"Open","D",,"209")</f>
        <v/>
      </c>
      <c r="C213" s="14" t="str">
        <f>RTD("esrtd",,"*H",$A$1,"High","D",,"209")</f>
        <v/>
      </c>
      <c r="D213" s="14" t="str">
        <f>RTD("esrtd",,"*H",$A$1,"Low","D",,"209")</f>
        <v/>
      </c>
      <c r="E213" s="14" t="str">
        <f>RTD("esrtd",,"*H",$A$1,"Last","D",,"209")</f>
        <v/>
      </c>
    </row>
    <row r="214" spans="1:5" x14ac:dyDescent="0.25">
      <c r="A214" s="13" t="str">
        <f>RTD("esrtd",,"*H",$A$1,"BarTime","D",,"210")</f>
        <v/>
      </c>
      <c r="B214" s="14" t="str">
        <f>RTD("esrtd",,"*H",$A$1,"Open","D",,"210")</f>
        <v/>
      </c>
      <c r="C214" s="14" t="str">
        <f>RTD("esrtd",,"*H",$A$1,"High","D",,"210")</f>
        <v/>
      </c>
      <c r="D214" s="14" t="str">
        <f>RTD("esrtd",,"*H",$A$1,"Low","D",,"210")</f>
        <v/>
      </c>
      <c r="E214" s="14" t="str">
        <f>RTD("esrtd",,"*H",$A$1,"Last","D",,"210")</f>
        <v/>
      </c>
    </row>
    <row r="215" spans="1:5" x14ac:dyDescent="0.25">
      <c r="A215" s="13" t="str">
        <f>RTD("esrtd",,"*H",$A$1,"BarTime","D",,"211")</f>
        <v/>
      </c>
      <c r="B215" s="14" t="str">
        <f>RTD("esrtd",,"*H",$A$1,"Open","D",,"211")</f>
        <v/>
      </c>
      <c r="C215" s="14" t="str">
        <f>RTD("esrtd",,"*H",$A$1,"High","D",,"211")</f>
        <v/>
      </c>
      <c r="D215" s="14" t="str">
        <f>RTD("esrtd",,"*H",$A$1,"Low","D",,"211")</f>
        <v/>
      </c>
      <c r="E215" s="14" t="str">
        <f>RTD("esrtd",,"*H",$A$1,"Last","D",,"211")</f>
        <v/>
      </c>
    </row>
    <row r="216" spans="1:5" x14ac:dyDescent="0.25">
      <c r="A216" s="13" t="str">
        <f>RTD("esrtd",,"*H",$A$1,"BarTime","D",,"212")</f>
        <v/>
      </c>
      <c r="B216" s="14" t="str">
        <f>RTD("esrtd",,"*H",$A$1,"Open","D",,"212")</f>
        <v/>
      </c>
      <c r="C216" s="14" t="str">
        <f>RTD("esrtd",,"*H",$A$1,"High","D",,"212")</f>
        <v/>
      </c>
      <c r="D216" s="14" t="str">
        <f>RTD("esrtd",,"*H",$A$1,"Low","D",,"212")</f>
        <v/>
      </c>
      <c r="E216" s="14" t="str">
        <f>RTD("esrtd",,"*H",$A$1,"Last","D",,"212")</f>
        <v/>
      </c>
    </row>
    <row r="217" spans="1:5" x14ac:dyDescent="0.25">
      <c r="A217" s="13" t="str">
        <f>RTD("esrtd",,"*H",$A$1,"BarTime","D",,"213")</f>
        <v/>
      </c>
      <c r="B217" s="14" t="str">
        <f>RTD("esrtd",,"*H",$A$1,"Open","D",,"213")</f>
        <v/>
      </c>
      <c r="C217" s="14" t="str">
        <f>RTD("esrtd",,"*H",$A$1,"High","D",,"213")</f>
        <v/>
      </c>
      <c r="D217" s="14" t="str">
        <f>RTD("esrtd",,"*H",$A$1,"Low","D",,"213")</f>
        <v/>
      </c>
      <c r="E217" s="14" t="str">
        <f>RTD("esrtd",,"*H",$A$1,"Last","D",,"213")</f>
        <v/>
      </c>
    </row>
    <row r="218" spans="1:5" x14ac:dyDescent="0.25">
      <c r="A218" s="13" t="str">
        <f>RTD("esrtd",,"*H",$A$1,"BarTime","D",,"214")</f>
        <v/>
      </c>
      <c r="B218" s="14" t="str">
        <f>RTD("esrtd",,"*H",$A$1,"Open","D",,"214")</f>
        <v/>
      </c>
      <c r="C218" s="14" t="str">
        <f>RTD("esrtd",,"*H",$A$1,"High","D",,"214")</f>
        <v/>
      </c>
      <c r="D218" s="14" t="str">
        <f>RTD("esrtd",,"*H",$A$1,"Low","D",,"214")</f>
        <v/>
      </c>
      <c r="E218" s="14" t="str">
        <f>RTD("esrtd",,"*H",$A$1,"Last","D",,"214")</f>
        <v/>
      </c>
    </row>
    <row r="219" spans="1:5" x14ac:dyDescent="0.25">
      <c r="A219" s="13" t="str">
        <f>RTD("esrtd",,"*H",$A$1,"BarTime","D",,"215")</f>
        <v/>
      </c>
      <c r="B219" s="14" t="str">
        <f>RTD("esrtd",,"*H",$A$1,"Open","D",,"215")</f>
        <v/>
      </c>
      <c r="C219" s="14" t="str">
        <f>RTD("esrtd",,"*H",$A$1,"High","D",,"215")</f>
        <v/>
      </c>
      <c r="D219" s="14" t="str">
        <f>RTD("esrtd",,"*H",$A$1,"Low","D",,"215")</f>
        <v/>
      </c>
      <c r="E219" s="14" t="str">
        <f>RTD("esrtd",,"*H",$A$1,"Last","D",,"215")</f>
        <v/>
      </c>
    </row>
    <row r="220" spans="1:5" x14ac:dyDescent="0.25">
      <c r="A220" s="13" t="str">
        <f>RTD("esrtd",,"*H",$A$1,"BarTime","D",,"216")</f>
        <v/>
      </c>
      <c r="B220" s="14" t="str">
        <f>RTD("esrtd",,"*H",$A$1,"Open","D",,"216")</f>
        <v/>
      </c>
      <c r="C220" s="14" t="str">
        <f>RTD("esrtd",,"*H",$A$1,"High","D",,"216")</f>
        <v/>
      </c>
      <c r="D220" s="14" t="str">
        <f>RTD("esrtd",,"*H",$A$1,"Low","D",,"216")</f>
        <v/>
      </c>
      <c r="E220" s="14" t="str">
        <f>RTD("esrtd",,"*H",$A$1,"Last","D",,"216")</f>
        <v/>
      </c>
    </row>
    <row r="221" spans="1:5" x14ac:dyDescent="0.25">
      <c r="A221" s="13" t="str">
        <f>RTD("esrtd",,"*H",$A$1,"BarTime","D",,"217")</f>
        <v/>
      </c>
      <c r="B221" s="14" t="str">
        <f>RTD("esrtd",,"*H",$A$1,"Open","D",,"217")</f>
        <v/>
      </c>
      <c r="C221" s="14" t="str">
        <f>RTD("esrtd",,"*H",$A$1,"High","D",,"217")</f>
        <v/>
      </c>
      <c r="D221" s="14" t="str">
        <f>RTD("esrtd",,"*H",$A$1,"Low","D",,"217")</f>
        <v/>
      </c>
      <c r="E221" s="14" t="str">
        <f>RTD("esrtd",,"*H",$A$1,"Last","D",,"217")</f>
        <v/>
      </c>
    </row>
    <row r="222" spans="1:5" x14ac:dyDescent="0.25">
      <c r="A222" s="13" t="str">
        <f>RTD("esrtd",,"*H",$A$1,"BarTime","D",,"218")</f>
        <v/>
      </c>
      <c r="B222" s="14" t="str">
        <f>RTD("esrtd",,"*H",$A$1,"Open","D",,"218")</f>
        <v/>
      </c>
      <c r="C222" s="14" t="str">
        <f>RTD("esrtd",,"*H",$A$1,"High","D",,"218")</f>
        <v/>
      </c>
      <c r="D222" s="14" t="str">
        <f>RTD("esrtd",,"*H",$A$1,"Low","D",,"218")</f>
        <v/>
      </c>
      <c r="E222" s="14" t="str">
        <f>RTD("esrtd",,"*H",$A$1,"Last","D",,"218")</f>
        <v/>
      </c>
    </row>
    <row r="223" spans="1:5" x14ac:dyDescent="0.25">
      <c r="A223" s="13" t="str">
        <f>RTD("esrtd",,"*H",$A$1,"BarTime","D",,"219")</f>
        <v/>
      </c>
      <c r="B223" s="14" t="str">
        <f>RTD("esrtd",,"*H",$A$1,"Open","D",,"219")</f>
        <v/>
      </c>
      <c r="C223" s="14" t="str">
        <f>RTD("esrtd",,"*H",$A$1,"High","D",,"219")</f>
        <v/>
      </c>
      <c r="D223" s="14" t="str">
        <f>RTD("esrtd",,"*H",$A$1,"Low","D",,"219")</f>
        <v/>
      </c>
      <c r="E223" s="14" t="str">
        <f>RTD("esrtd",,"*H",$A$1,"Last","D",,"219")</f>
        <v/>
      </c>
    </row>
    <row r="224" spans="1:5" x14ac:dyDescent="0.25">
      <c r="A224" s="13" t="str">
        <f>RTD("esrtd",,"*H",$A$1,"BarTime","D",,"220")</f>
        <v/>
      </c>
      <c r="B224" s="14" t="str">
        <f>RTD("esrtd",,"*H",$A$1,"Open","D",,"220")</f>
        <v/>
      </c>
      <c r="C224" s="14" t="str">
        <f>RTD("esrtd",,"*H",$A$1,"High","D",,"220")</f>
        <v/>
      </c>
      <c r="D224" s="14" t="str">
        <f>RTD("esrtd",,"*H",$A$1,"Low","D",,"220")</f>
        <v/>
      </c>
      <c r="E224" s="14" t="str">
        <f>RTD("esrtd",,"*H",$A$1,"Last","D",,"220")</f>
        <v/>
      </c>
    </row>
    <row r="225" spans="1:5" x14ac:dyDescent="0.25">
      <c r="A225" s="13" t="str">
        <f>RTD("esrtd",,"*H",$A$1,"BarTime","D",,"221")</f>
        <v/>
      </c>
      <c r="B225" s="14" t="str">
        <f>RTD("esrtd",,"*H",$A$1,"Open","D",,"221")</f>
        <v/>
      </c>
      <c r="C225" s="14" t="str">
        <f>RTD("esrtd",,"*H",$A$1,"High","D",,"221")</f>
        <v/>
      </c>
      <c r="D225" s="14" t="str">
        <f>RTD("esrtd",,"*H",$A$1,"Low","D",,"221")</f>
        <v/>
      </c>
      <c r="E225" s="14" t="str">
        <f>RTD("esrtd",,"*H",$A$1,"Last","D",,"221")</f>
        <v/>
      </c>
    </row>
    <row r="226" spans="1:5" x14ac:dyDescent="0.25">
      <c r="A226" s="13" t="str">
        <f>RTD("esrtd",,"*H",$A$1,"BarTime","D",,"222")</f>
        <v/>
      </c>
      <c r="B226" s="14" t="str">
        <f>RTD("esrtd",,"*H",$A$1,"Open","D",,"222")</f>
        <v/>
      </c>
      <c r="C226" s="14" t="str">
        <f>RTD("esrtd",,"*H",$A$1,"High","D",,"222")</f>
        <v/>
      </c>
      <c r="D226" s="14" t="str">
        <f>RTD("esrtd",,"*H",$A$1,"Low","D",,"222")</f>
        <v/>
      </c>
      <c r="E226" s="14" t="str">
        <f>RTD("esrtd",,"*H",$A$1,"Last","D",,"222")</f>
        <v/>
      </c>
    </row>
    <row r="227" spans="1:5" x14ac:dyDescent="0.25">
      <c r="A227" s="13" t="str">
        <f>RTD("esrtd",,"*H",$A$1,"BarTime","D",,"223")</f>
        <v/>
      </c>
      <c r="B227" s="14" t="str">
        <f>RTD("esrtd",,"*H",$A$1,"Open","D",,"223")</f>
        <v/>
      </c>
      <c r="C227" s="14" t="str">
        <f>RTD("esrtd",,"*H",$A$1,"High","D",,"223")</f>
        <v/>
      </c>
      <c r="D227" s="14" t="str">
        <f>RTD("esrtd",,"*H",$A$1,"Low","D",,"223")</f>
        <v/>
      </c>
      <c r="E227" s="14" t="str">
        <f>RTD("esrtd",,"*H",$A$1,"Last","D",,"223")</f>
        <v/>
      </c>
    </row>
    <row r="228" spans="1:5" x14ac:dyDescent="0.25">
      <c r="A228" s="13" t="str">
        <f>RTD("esrtd",,"*H",$A$1,"BarTime","D",,"224")</f>
        <v/>
      </c>
      <c r="B228" s="14" t="str">
        <f>RTD("esrtd",,"*H",$A$1,"Open","D",,"224")</f>
        <v/>
      </c>
      <c r="C228" s="14" t="str">
        <f>RTD("esrtd",,"*H",$A$1,"High","D",,"224")</f>
        <v/>
      </c>
      <c r="D228" s="14" t="str">
        <f>RTD("esrtd",,"*H",$A$1,"Low","D",,"224")</f>
        <v/>
      </c>
      <c r="E228" s="14" t="str">
        <f>RTD("esrtd",,"*H",$A$1,"Last","D",,"224")</f>
        <v/>
      </c>
    </row>
    <row r="229" spans="1:5" x14ac:dyDescent="0.25">
      <c r="A229" s="13" t="str">
        <f>RTD("esrtd",,"*H",$A$1,"BarTime","D",,"225")</f>
        <v/>
      </c>
      <c r="B229" s="14" t="str">
        <f>RTD("esrtd",,"*H",$A$1,"Open","D",,"225")</f>
        <v/>
      </c>
      <c r="C229" s="14" t="str">
        <f>RTD("esrtd",,"*H",$A$1,"High","D",,"225")</f>
        <v/>
      </c>
      <c r="D229" s="14" t="str">
        <f>RTD("esrtd",,"*H",$A$1,"Low","D",,"225")</f>
        <v/>
      </c>
      <c r="E229" s="14" t="str">
        <f>RTD("esrtd",,"*H",$A$1,"Last","D",,"225")</f>
        <v/>
      </c>
    </row>
    <row r="230" spans="1:5" x14ac:dyDescent="0.25">
      <c r="A230" s="13" t="str">
        <f>RTD("esrtd",,"*H",$A$1,"BarTime","D",,"226")</f>
        <v/>
      </c>
      <c r="B230" s="14" t="str">
        <f>RTD("esrtd",,"*H",$A$1,"Open","D",,"226")</f>
        <v/>
      </c>
      <c r="C230" s="14" t="str">
        <f>RTD("esrtd",,"*H",$A$1,"High","D",,"226")</f>
        <v/>
      </c>
      <c r="D230" s="14" t="str">
        <f>RTD("esrtd",,"*H",$A$1,"Low","D",,"226")</f>
        <v/>
      </c>
      <c r="E230" s="14" t="str">
        <f>RTD("esrtd",,"*H",$A$1,"Last","D",,"226")</f>
        <v/>
      </c>
    </row>
    <row r="231" spans="1:5" x14ac:dyDescent="0.25">
      <c r="A231" s="13" t="str">
        <f>RTD("esrtd",,"*H",$A$1,"BarTime","D",,"227")</f>
        <v/>
      </c>
      <c r="B231" s="14" t="str">
        <f>RTD("esrtd",,"*H",$A$1,"Open","D",,"227")</f>
        <v/>
      </c>
      <c r="C231" s="14" t="str">
        <f>RTD("esrtd",,"*H",$A$1,"High","D",,"227")</f>
        <v/>
      </c>
      <c r="D231" s="14" t="str">
        <f>RTD("esrtd",,"*H",$A$1,"Low","D",,"227")</f>
        <v/>
      </c>
      <c r="E231" s="14" t="str">
        <f>RTD("esrtd",,"*H",$A$1,"Last","D",,"227")</f>
        <v/>
      </c>
    </row>
    <row r="232" spans="1:5" x14ac:dyDescent="0.25">
      <c r="A232" s="13" t="str">
        <f>RTD("esrtd",,"*H",$A$1,"BarTime","D",,"228")</f>
        <v/>
      </c>
      <c r="B232" s="14" t="str">
        <f>RTD("esrtd",,"*H",$A$1,"Open","D",,"228")</f>
        <v/>
      </c>
      <c r="C232" s="14" t="str">
        <f>RTD("esrtd",,"*H",$A$1,"High","D",,"228")</f>
        <v/>
      </c>
      <c r="D232" s="14" t="str">
        <f>RTD("esrtd",,"*H",$A$1,"Low","D",,"228")</f>
        <v/>
      </c>
      <c r="E232" s="14" t="str">
        <f>RTD("esrtd",,"*H",$A$1,"Last","D",,"228")</f>
        <v/>
      </c>
    </row>
    <row r="233" spans="1:5" x14ac:dyDescent="0.25">
      <c r="A233" s="13" t="str">
        <f>RTD("esrtd",,"*H",$A$1,"BarTime","D",,"229")</f>
        <v/>
      </c>
      <c r="B233" s="14" t="str">
        <f>RTD("esrtd",,"*H",$A$1,"Open","D",,"229")</f>
        <v/>
      </c>
      <c r="C233" s="14" t="str">
        <f>RTD("esrtd",,"*H",$A$1,"High","D",,"229")</f>
        <v/>
      </c>
      <c r="D233" s="14" t="str">
        <f>RTD("esrtd",,"*H",$A$1,"Low","D",,"229")</f>
        <v/>
      </c>
      <c r="E233" s="14" t="str">
        <f>RTD("esrtd",,"*H",$A$1,"Last","D",,"229")</f>
        <v/>
      </c>
    </row>
    <row r="234" spans="1:5" x14ac:dyDescent="0.25">
      <c r="A234" s="13" t="str">
        <f>RTD("esrtd",,"*H",$A$1,"BarTime","D",,"230")</f>
        <v/>
      </c>
      <c r="B234" s="14" t="str">
        <f>RTD("esrtd",,"*H",$A$1,"Open","D",,"230")</f>
        <v/>
      </c>
      <c r="C234" s="14" t="str">
        <f>RTD("esrtd",,"*H",$A$1,"High","D",,"230")</f>
        <v/>
      </c>
      <c r="D234" s="14" t="str">
        <f>RTD("esrtd",,"*H",$A$1,"Low","D",,"230")</f>
        <v/>
      </c>
      <c r="E234" s="14" t="str">
        <f>RTD("esrtd",,"*H",$A$1,"Last","D",,"230")</f>
        <v/>
      </c>
    </row>
    <row r="235" spans="1:5" x14ac:dyDescent="0.25">
      <c r="A235" s="13" t="str">
        <f>RTD("esrtd",,"*H",$A$1,"BarTime","D",,"231")</f>
        <v/>
      </c>
      <c r="B235" s="14" t="str">
        <f>RTD("esrtd",,"*H",$A$1,"Open","D",,"231")</f>
        <v/>
      </c>
      <c r="C235" s="14" t="str">
        <f>RTD("esrtd",,"*H",$A$1,"High","D",,"231")</f>
        <v/>
      </c>
      <c r="D235" s="14" t="str">
        <f>RTD("esrtd",,"*H",$A$1,"Low","D",,"231")</f>
        <v/>
      </c>
      <c r="E235" s="14" t="str">
        <f>RTD("esrtd",,"*H",$A$1,"Last","D",,"231")</f>
        <v/>
      </c>
    </row>
    <row r="236" spans="1:5" x14ac:dyDescent="0.25">
      <c r="A236" s="13" t="str">
        <f>RTD("esrtd",,"*H",$A$1,"BarTime","D",,"232")</f>
        <v/>
      </c>
      <c r="B236" s="14" t="str">
        <f>RTD("esrtd",,"*H",$A$1,"Open","D",,"232")</f>
        <v/>
      </c>
      <c r="C236" s="14" t="str">
        <f>RTD("esrtd",,"*H",$A$1,"High","D",,"232")</f>
        <v/>
      </c>
      <c r="D236" s="14" t="str">
        <f>RTD("esrtd",,"*H",$A$1,"Low","D",,"232")</f>
        <v/>
      </c>
      <c r="E236" s="14" t="str">
        <f>RTD("esrtd",,"*H",$A$1,"Last","D",,"232")</f>
        <v/>
      </c>
    </row>
    <row r="237" spans="1:5" x14ac:dyDescent="0.25">
      <c r="A237" s="13" t="str">
        <f>RTD("esrtd",,"*H",$A$1,"BarTime","D",,"233")</f>
        <v/>
      </c>
      <c r="B237" s="14" t="str">
        <f>RTD("esrtd",,"*H",$A$1,"Open","D",,"233")</f>
        <v/>
      </c>
      <c r="C237" s="14" t="str">
        <f>RTD("esrtd",,"*H",$A$1,"High","D",,"233")</f>
        <v/>
      </c>
      <c r="D237" s="14" t="str">
        <f>RTD("esrtd",,"*H",$A$1,"Low","D",,"233")</f>
        <v/>
      </c>
      <c r="E237" s="14" t="str">
        <f>RTD("esrtd",,"*H",$A$1,"Last","D",,"233")</f>
        <v/>
      </c>
    </row>
    <row r="238" spans="1:5" x14ac:dyDescent="0.25">
      <c r="A238" s="13" t="str">
        <f>RTD("esrtd",,"*H",$A$1,"BarTime","D",,"234")</f>
        <v/>
      </c>
      <c r="B238" s="14" t="str">
        <f>RTD("esrtd",,"*H",$A$1,"Open","D",,"234")</f>
        <v/>
      </c>
      <c r="C238" s="14" t="str">
        <f>RTD("esrtd",,"*H",$A$1,"High","D",,"234")</f>
        <v/>
      </c>
      <c r="D238" s="14" t="str">
        <f>RTD("esrtd",,"*H",$A$1,"Low","D",,"234")</f>
        <v/>
      </c>
      <c r="E238" s="14" t="str">
        <f>RTD("esrtd",,"*H",$A$1,"Last","D",,"234")</f>
        <v/>
      </c>
    </row>
    <row r="239" spans="1:5" x14ac:dyDescent="0.25">
      <c r="A239" s="13" t="str">
        <f>RTD("esrtd",,"*H",$A$1,"BarTime","D",,"235")</f>
        <v/>
      </c>
      <c r="B239" s="14" t="str">
        <f>RTD("esrtd",,"*H",$A$1,"Open","D",,"235")</f>
        <v/>
      </c>
      <c r="C239" s="14" t="str">
        <f>RTD("esrtd",,"*H",$A$1,"High","D",,"235")</f>
        <v/>
      </c>
      <c r="D239" s="14" t="str">
        <f>RTD("esrtd",,"*H",$A$1,"Low","D",,"235")</f>
        <v/>
      </c>
      <c r="E239" s="14" t="str">
        <f>RTD("esrtd",,"*H",$A$1,"Last","D",,"235")</f>
        <v/>
      </c>
    </row>
    <row r="240" spans="1:5" x14ac:dyDescent="0.25">
      <c r="A240" s="13" t="str">
        <f>RTD("esrtd",,"*H",$A$1,"BarTime","D",,"236")</f>
        <v/>
      </c>
      <c r="B240" s="14" t="str">
        <f>RTD("esrtd",,"*H",$A$1,"Open","D",,"236")</f>
        <v/>
      </c>
      <c r="C240" s="14" t="str">
        <f>RTD("esrtd",,"*H",$A$1,"High","D",,"236")</f>
        <v/>
      </c>
      <c r="D240" s="14" t="str">
        <f>RTD("esrtd",,"*H",$A$1,"Low","D",,"236")</f>
        <v/>
      </c>
      <c r="E240" s="14" t="str">
        <f>RTD("esrtd",,"*H",$A$1,"Last","D",,"236")</f>
        <v/>
      </c>
    </row>
    <row r="241" spans="1:5" x14ac:dyDescent="0.25">
      <c r="A241" s="13" t="str">
        <f>RTD("esrtd",,"*H",$A$1,"BarTime","D",,"237")</f>
        <v/>
      </c>
      <c r="B241" s="14" t="str">
        <f>RTD("esrtd",,"*H",$A$1,"Open","D",,"237")</f>
        <v/>
      </c>
      <c r="C241" s="14" t="str">
        <f>RTD("esrtd",,"*H",$A$1,"High","D",,"237")</f>
        <v/>
      </c>
      <c r="D241" s="14" t="str">
        <f>RTD("esrtd",,"*H",$A$1,"Low","D",,"237")</f>
        <v/>
      </c>
      <c r="E241" s="14" t="str">
        <f>RTD("esrtd",,"*H",$A$1,"Last","D",,"237")</f>
        <v/>
      </c>
    </row>
    <row r="242" spans="1:5" x14ac:dyDescent="0.25">
      <c r="A242" s="13" t="str">
        <f>RTD("esrtd",,"*H",$A$1,"BarTime","D",,"238")</f>
        <v/>
      </c>
      <c r="B242" s="14" t="str">
        <f>RTD("esrtd",,"*H",$A$1,"Open","D",,"238")</f>
        <v/>
      </c>
      <c r="C242" s="14" t="str">
        <f>RTD("esrtd",,"*H",$A$1,"High","D",,"238")</f>
        <v/>
      </c>
      <c r="D242" s="14" t="str">
        <f>RTD("esrtd",,"*H",$A$1,"Low","D",,"238")</f>
        <v/>
      </c>
      <c r="E242" s="14" t="str">
        <f>RTD("esrtd",,"*H",$A$1,"Last","D",,"238")</f>
        <v/>
      </c>
    </row>
    <row r="243" spans="1:5" x14ac:dyDescent="0.25">
      <c r="A243" s="13" t="str">
        <f>RTD("esrtd",,"*H",$A$1,"BarTime","D",,"239")</f>
        <v/>
      </c>
      <c r="B243" s="14" t="str">
        <f>RTD("esrtd",,"*H",$A$1,"Open","D",,"239")</f>
        <v/>
      </c>
      <c r="C243" s="14" t="str">
        <f>RTD("esrtd",,"*H",$A$1,"High","D",,"239")</f>
        <v/>
      </c>
      <c r="D243" s="14" t="str">
        <f>RTD("esrtd",,"*H",$A$1,"Low","D",,"239")</f>
        <v/>
      </c>
      <c r="E243" s="14" t="str">
        <f>RTD("esrtd",,"*H",$A$1,"Last","D",,"239")</f>
        <v/>
      </c>
    </row>
    <row r="244" spans="1:5" x14ac:dyDescent="0.25">
      <c r="A244" s="13" t="str">
        <f>RTD("esrtd",,"*H",$A$1,"BarTime","D",,"240")</f>
        <v/>
      </c>
      <c r="B244" s="14" t="str">
        <f>RTD("esrtd",,"*H",$A$1,"Open","D",,"240")</f>
        <v/>
      </c>
      <c r="C244" s="14" t="str">
        <f>RTD("esrtd",,"*H",$A$1,"High","D",,"240")</f>
        <v/>
      </c>
      <c r="D244" s="14" t="str">
        <f>RTD("esrtd",,"*H",$A$1,"Low","D",,"240")</f>
        <v/>
      </c>
      <c r="E244" s="14" t="str">
        <f>RTD("esrtd",,"*H",$A$1,"Last","D",,"240")</f>
        <v/>
      </c>
    </row>
    <row r="245" spans="1:5" x14ac:dyDescent="0.25">
      <c r="A245" s="13" t="str">
        <f>RTD("esrtd",,"*H",$A$1,"BarTime","D",,"241")</f>
        <v/>
      </c>
      <c r="B245" s="14" t="str">
        <f>RTD("esrtd",,"*H",$A$1,"Open","D",,"241")</f>
        <v/>
      </c>
      <c r="C245" s="14" t="str">
        <f>RTD("esrtd",,"*H",$A$1,"High","D",,"241")</f>
        <v/>
      </c>
      <c r="D245" s="14" t="str">
        <f>RTD("esrtd",,"*H",$A$1,"Low","D",,"241")</f>
        <v/>
      </c>
      <c r="E245" s="14" t="str">
        <f>RTD("esrtd",,"*H",$A$1,"Last","D",,"241")</f>
        <v/>
      </c>
    </row>
    <row r="246" spans="1:5" x14ac:dyDescent="0.25">
      <c r="A246" s="13" t="str">
        <f>RTD("esrtd",,"*H",$A$1,"BarTime","D",,"242")</f>
        <v/>
      </c>
      <c r="B246" s="14" t="str">
        <f>RTD("esrtd",,"*H",$A$1,"Open","D",,"242")</f>
        <v/>
      </c>
      <c r="C246" s="14" t="str">
        <f>RTD("esrtd",,"*H",$A$1,"High","D",,"242")</f>
        <v/>
      </c>
      <c r="D246" s="14" t="str">
        <f>RTD("esrtd",,"*H",$A$1,"Low","D",,"242")</f>
        <v/>
      </c>
      <c r="E246" s="14" t="str">
        <f>RTD("esrtd",,"*H",$A$1,"Last","D",,"242")</f>
        <v/>
      </c>
    </row>
    <row r="247" spans="1:5" x14ac:dyDescent="0.25">
      <c r="A247" s="13" t="str">
        <f>RTD("esrtd",,"*H",$A$1,"BarTime","D",,"243")</f>
        <v/>
      </c>
      <c r="B247" s="14" t="str">
        <f>RTD("esrtd",,"*H",$A$1,"Open","D",,"243")</f>
        <v/>
      </c>
      <c r="C247" s="14" t="str">
        <f>RTD("esrtd",,"*H",$A$1,"High","D",,"243")</f>
        <v/>
      </c>
      <c r="D247" s="14" t="str">
        <f>RTD("esrtd",,"*H",$A$1,"Low","D",,"243")</f>
        <v/>
      </c>
      <c r="E247" s="14" t="str">
        <f>RTD("esrtd",,"*H",$A$1,"Last","D",,"243")</f>
        <v/>
      </c>
    </row>
    <row r="248" spans="1:5" x14ac:dyDescent="0.25">
      <c r="A248" s="13" t="str">
        <f>RTD("esrtd",,"*H",$A$1,"BarTime","D",,"244")</f>
        <v/>
      </c>
      <c r="B248" s="14" t="str">
        <f>RTD("esrtd",,"*H",$A$1,"Open","D",,"244")</f>
        <v/>
      </c>
      <c r="C248" s="14" t="str">
        <f>RTD("esrtd",,"*H",$A$1,"High","D",,"244")</f>
        <v/>
      </c>
      <c r="D248" s="14" t="str">
        <f>RTD("esrtd",,"*H",$A$1,"Low","D",,"244")</f>
        <v/>
      </c>
      <c r="E248" s="14" t="str">
        <f>RTD("esrtd",,"*H",$A$1,"Last","D",,"244")</f>
        <v/>
      </c>
    </row>
    <row r="249" spans="1:5" x14ac:dyDescent="0.25">
      <c r="A249" s="13" t="str">
        <f>RTD("esrtd",,"*H",$A$1,"BarTime","D",,"245")</f>
        <v/>
      </c>
      <c r="B249" s="14" t="str">
        <f>RTD("esrtd",,"*H",$A$1,"Open","D",,"245")</f>
        <v/>
      </c>
      <c r="C249" s="14" t="str">
        <f>RTD("esrtd",,"*H",$A$1,"High","D",,"245")</f>
        <v/>
      </c>
      <c r="D249" s="14" t="str">
        <f>RTD("esrtd",,"*H",$A$1,"Low","D",,"245")</f>
        <v/>
      </c>
      <c r="E249" s="14" t="str">
        <f>RTD("esrtd",,"*H",$A$1,"Last","D",,"245")</f>
        <v/>
      </c>
    </row>
    <row r="250" spans="1:5" x14ac:dyDescent="0.25">
      <c r="A250" s="13" t="str">
        <f>RTD("esrtd",,"*H",$A$1,"BarTime","D",,"246")</f>
        <v/>
      </c>
      <c r="B250" s="14" t="str">
        <f>RTD("esrtd",,"*H",$A$1,"Open","D",,"246")</f>
        <v/>
      </c>
      <c r="C250" s="14" t="str">
        <f>RTD("esrtd",,"*H",$A$1,"High","D",,"246")</f>
        <v/>
      </c>
      <c r="D250" s="14" t="str">
        <f>RTD("esrtd",,"*H",$A$1,"Low","D",,"246")</f>
        <v/>
      </c>
      <c r="E250" s="14" t="str">
        <f>RTD("esrtd",,"*H",$A$1,"Last","D",,"246")</f>
        <v/>
      </c>
    </row>
    <row r="251" spans="1:5" x14ac:dyDescent="0.25">
      <c r="A251" s="13" t="str">
        <f>RTD("esrtd",,"*H",$A$1,"BarTime","D",,"247")</f>
        <v/>
      </c>
      <c r="B251" s="14" t="str">
        <f>RTD("esrtd",,"*H",$A$1,"Open","D",,"247")</f>
        <v/>
      </c>
      <c r="C251" s="14" t="str">
        <f>RTD("esrtd",,"*H",$A$1,"High","D",,"247")</f>
        <v/>
      </c>
      <c r="D251" s="14" t="str">
        <f>RTD("esrtd",,"*H",$A$1,"Low","D",,"247")</f>
        <v/>
      </c>
      <c r="E251" s="14" t="str">
        <f>RTD("esrtd",,"*H",$A$1,"Last","D",,"247")</f>
        <v/>
      </c>
    </row>
    <row r="252" spans="1:5" x14ac:dyDescent="0.25">
      <c r="A252" s="13" t="str">
        <f>RTD("esrtd",,"*H",$A$1,"BarTime","D",,"248")</f>
        <v/>
      </c>
      <c r="B252" s="14" t="str">
        <f>RTD("esrtd",,"*H",$A$1,"Open","D",,"248")</f>
        <v/>
      </c>
      <c r="C252" s="14" t="str">
        <f>RTD("esrtd",,"*H",$A$1,"High","D",,"248")</f>
        <v/>
      </c>
      <c r="D252" s="14" t="str">
        <f>RTD("esrtd",,"*H",$A$1,"Low","D",,"248")</f>
        <v/>
      </c>
      <c r="E252" s="14" t="str">
        <f>RTD("esrtd",,"*H",$A$1,"Last","D",,"248")</f>
        <v/>
      </c>
    </row>
    <row r="253" spans="1:5" x14ac:dyDescent="0.25">
      <c r="A253" s="13" t="str">
        <f>RTD("esrtd",,"*H",$A$1,"BarTime","D",,"249")</f>
        <v/>
      </c>
      <c r="B253" s="14" t="str">
        <f>RTD("esrtd",,"*H",$A$1,"Open","D",,"249")</f>
        <v/>
      </c>
      <c r="C253" s="14" t="str">
        <f>RTD("esrtd",,"*H",$A$1,"High","D",,"249")</f>
        <v/>
      </c>
      <c r="D253" s="14" t="str">
        <f>RTD("esrtd",,"*H",$A$1,"Low","D",,"249")</f>
        <v/>
      </c>
      <c r="E253" s="14" t="str">
        <f>RTD("esrtd",,"*H",$A$1,"Last","D",,"249")</f>
        <v/>
      </c>
    </row>
    <row r="254" spans="1:5" x14ac:dyDescent="0.25">
      <c r="A254" s="13" t="str">
        <f>RTD("esrtd",,"*H",$A$1,"BarTime","D",,"250")</f>
        <v/>
      </c>
      <c r="B254" s="14" t="str">
        <f>RTD("esrtd",,"*H",$A$1,"Open","D",,"250")</f>
        <v/>
      </c>
      <c r="C254" s="14" t="str">
        <f>RTD("esrtd",,"*H",$A$1,"High","D",,"250")</f>
        <v/>
      </c>
      <c r="D254" s="14" t="str">
        <f>RTD("esrtd",,"*H",$A$1,"Low","D",,"250")</f>
        <v/>
      </c>
      <c r="E254" s="14" t="str">
        <f>RTD("esrtd",,"*H",$A$1,"Last","D",,"250")</f>
        <v/>
      </c>
    </row>
    <row r="255" spans="1:5" x14ac:dyDescent="0.25">
      <c r="A255" s="13" t="str">
        <f>RTD("esrtd",,"*H",$A$1,"BarTime","D",,"251")</f>
        <v/>
      </c>
      <c r="B255" s="14" t="str">
        <f>RTD("esrtd",,"*H",$A$1,"Open","D",,"251")</f>
        <v/>
      </c>
      <c r="C255" s="14" t="str">
        <f>RTD("esrtd",,"*H",$A$1,"High","D",,"251")</f>
        <v/>
      </c>
      <c r="D255" s="14" t="str">
        <f>RTD("esrtd",,"*H",$A$1,"Low","D",,"251")</f>
        <v/>
      </c>
      <c r="E255" s="14" t="str">
        <f>RTD("esrtd",,"*H",$A$1,"Last","D",,"251")</f>
        <v/>
      </c>
    </row>
    <row r="256" spans="1:5" x14ac:dyDescent="0.25">
      <c r="A256" s="13" t="str">
        <f>RTD("esrtd",,"*H",$A$1,"BarTime","D",,"252")</f>
        <v/>
      </c>
      <c r="B256" s="14" t="str">
        <f>RTD("esrtd",,"*H",$A$1,"Open","D",,"252")</f>
        <v/>
      </c>
      <c r="C256" s="14" t="str">
        <f>RTD("esrtd",,"*H",$A$1,"High","D",,"252")</f>
        <v/>
      </c>
      <c r="D256" s="14" t="str">
        <f>RTD("esrtd",,"*H",$A$1,"Low","D",,"252")</f>
        <v/>
      </c>
      <c r="E256" s="14" t="str">
        <f>RTD("esrtd",,"*H",$A$1,"Last","D",,"252")</f>
        <v/>
      </c>
    </row>
    <row r="257" spans="1:5" x14ac:dyDescent="0.25">
      <c r="A257" s="13" t="str">
        <f>RTD("esrtd",,"*H",$A$1,"BarTime","D",,"253")</f>
        <v/>
      </c>
      <c r="B257" s="14" t="str">
        <f>RTD("esrtd",,"*H",$A$1,"Open","D",,"253")</f>
        <v/>
      </c>
      <c r="C257" s="14" t="str">
        <f>RTD("esrtd",,"*H",$A$1,"High","D",,"253")</f>
        <v/>
      </c>
      <c r="D257" s="14" t="str">
        <f>RTD("esrtd",,"*H",$A$1,"Low","D",,"253")</f>
        <v/>
      </c>
      <c r="E257" s="14" t="str">
        <f>RTD("esrtd",,"*H",$A$1,"Last","D",,"253")</f>
        <v/>
      </c>
    </row>
    <row r="258" spans="1:5" x14ac:dyDescent="0.25">
      <c r="A258" s="13" t="str">
        <f>RTD("esrtd",,"*H",$A$1,"BarTime","D",,"254")</f>
        <v/>
      </c>
      <c r="B258" s="14" t="str">
        <f>RTD("esrtd",,"*H",$A$1,"Open","D",,"254")</f>
        <v/>
      </c>
      <c r="C258" s="14" t="str">
        <f>RTD("esrtd",,"*H",$A$1,"High","D",,"254")</f>
        <v/>
      </c>
      <c r="D258" s="14" t="str">
        <f>RTD("esrtd",,"*H",$A$1,"Low","D",,"254")</f>
        <v/>
      </c>
      <c r="E258" s="14" t="str">
        <f>RTD("esrtd",,"*H",$A$1,"Last","D",,"254")</f>
        <v/>
      </c>
    </row>
    <row r="259" spans="1:5" x14ac:dyDescent="0.25">
      <c r="A259" s="13" t="str">
        <f>RTD("esrtd",,"*H",$A$1,"BarTime","D",,"255")</f>
        <v/>
      </c>
      <c r="B259" s="14" t="str">
        <f>RTD("esrtd",,"*H",$A$1,"Open","D",,"255")</f>
        <v/>
      </c>
      <c r="C259" s="14" t="str">
        <f>RTD("esrtd",,"*H",$A$1,"High","D",,"255")</f>
        <v/>
      </c>
      <c r="D259" s="14" t="str">
        <f>RTD("esrtd",,"*H",$A$1,"Low","D",,"255")</f>
        <v/>
      </c>
      <c r="E259" s="14" t="str">
        <f>RTD("esrtd",,"*H",$A$1,"Last","D",,"255")</f>
        <v/>
      </c>
    </row>
    <row r="260" spans="1:5" x14ac:dyDescent="0.25">
      <c r="A260" s="13" t="str">
        <f>RTD("esrtd",,"*H",$A$1,"BarTime","D",,"256")</f>
        <v/>
      </c>
      <c r="B260" s="14" t="str">
        <f>RTD("esrtd",,"*H",$A$1,"Open","D",,"256")</f>
        <v/>
      </c>
      <c r="C260" s="14" t="str">
        <f>RTD("esrtd",,"*H",$A$1,"High","D",,"256")</f>
        <v/>
      </c>
      <c r="D260" s="14" t="str">
        <f>RTD("esrtd",,"*H",$A$1,"Low","D",,"256")</f>
        <v/>
      </c>
      <c r="E260" s="14" t="str">
        <f>RTD("esrtd",,"*H",$A$1,"Last","D",,"256")</f>
        <v/>
      </c>
    </row>
    <row r="261" spans="1:5" x14ac:dyDescent="0.25">
      <c r="A261" s="13" t="str">
        <f>RTD("esrtd",,"*H",$A$1,"BarTime","D",,"257")</f>
        <v/>
      </c>
      <c r="B261" s="14" t="str">
        <f>RTD("esrtd",,"*H",$A$1,"Open","D",,"257")</f>
        <v/>
      </c>
      <c r="C261" s="14" t="str">
        <f>RTD("esrtd",,"*H",$A$1,"High","D",,"257")</f>
        <v/>
      </c>
      <c r="D261" s="14" t="str">
        <f>RTD("esrtd",,"*H",$A$1,"Low","D",,"257")</f>
        <v/>
      </c>
      <c r="E261" s="14" t="str">
        <f>RTD("esrtd",,"*H",$A$1,"Last","D",,"257")</f>
        <v/>
      </c>
    </row>
    <row r="262" spans="1:5" x14ac:dyDescent="0.25">
      <c r="A262" s="13" t="str">
        <f>RTD("esrtd",,"*H",$A$1,"BarTime","D",,"258")</f>
        <v/>
      </c>
      <c r="B262" s="14" t="str">
        <f>RTD("esrtd",,"*H",$A$1,"Open","D",,"258")</f>
        <v/>
      </c>
      <c r="C262" s="14" t="str">
        <f>RTD("esrtd",,"*H",$A$1,"High","D",,"258")</f>
        <v/>
      </c>
      <c r="D262" s="14" t="str">
        <f>RTD("esrtd",,"*H",$A$1,"Low","D",,"258")</f>
        <v/>
      </c>
      <c r="E262" s="14" t="str">
        <f>RTD("esrtd",,"*H",$A$1,"Last","D",,"258")</f>
        <v/>
      </c>
    </row>
    <row r="263" spans="1:5" x14ac:dyDescent="0.25">
      <c r="A263" s="13" t="str">
        <f>RTD("esrtd",,"*H",$A$1,"BarTime","D",,"259")</f>
        <v/>
      </c>
      <c r="B263" s="14" t="str">
        <f>RTD("esrtd",,"*H",$A$1,"Open","D",,"259")</f>
        <v/>
      </c>
      <c r="C263" s="14" t="str">
        <f>RTD("esrtd",,"*H",$A$1,"High","D",,"259")</f>
        <v/>
      </c>
      <c r="D263" s="14" t="str">
        <f>RTD("esrtd",,"*H",$A$1,"Low","D",,"259")</f>
        <v/>
      </c>
      <c r="E263" s="14" t="str">
        <f>RTD("esrtd",,"*H",$A$1,"Last","D",,"259")</f>
        <v/>
      </c>
    </row>
    <row r="264" spans="1:5" x14ac:dyDescent="0.25">
      <c r="A264" s="13" t="str">
        <f>RTD("esrtd",,"*H",$A$1,"BarTime","D",,"260")</f>
        <v/>
      </c>
      <c r="B264" s="14" t="str">
        <f>RTD("esrtd",,"*H",$A$1,"Open","D",,"260")</f>
        <v/>
      </c>
      <c r="C264" s="14" t="str">
        <f>RTD("esrtd",,"*H",$A$1,"High","D",,"260")</f>
        <v/>
      </c>
      <c r="D264" s="14" t="str">
        <f>RTD("esrtd",,"*H",$A$1,"Low","D",,"260")</f>
        <v/>
      </c>
      <c r="E264" s="14" t="str">
        <f>RTD("esrtd",,"*H",$A$1,"Last","D",,"260")</f>
        <v/>
      </c>
    </row>
    <row r="265" spans="1:5" x14ac:dyDescent="0.25">
      <c r="A265" s="13" t="str">
        <f>RTD("esrtd",,"*H",$A$1,"BarTime","D",,"261")</f>
        <v/>
      </c>
      <c r="B265" s="14" t="str">
        <f>RTD("esrtd",,"*H",$A$1,"Open","D",,"261")</f>
        <v/>
      </c>
      <c r="C265" s="14" t="str">
        <f>RTD("esrtd",,"*H",$A$1,"High","D",,"261")</f>
        <v/>
      </c>
      <c r="D265" s="14" t="str">
        <f>RTD("esrtd",,"*H",$A$1,"Low","D",,"261")</f>
        <v/>
      </c>
      <c r="E265" s="14" t="str">
        <f>RTD("esrtd",,"*H",$A$1,"Last","D",,"261")</f>
        <v/>
      </c>
    </row>
    <row r="266" spans="1:5" x14ac:dyDescent="0.25">
      <c r="A266" s="13" t="str">
        <f>RTD("esrtd",,"*H",$A$1,"BarTime","D",,"262")</f>
        <v/>
      </c>
      <c r="B266" s="14" t="str">
        <f>RTD("esrtd",,"*H",$A$1,"Open","D",,"262")</f>
        <v/>
      </c>
      <c r="C266" s="14" t="str">
        <f>RTD("esrtd",,"*H",$A$1,"High","D",,"262")</f>
        <v/>
      </c>
      <c r="D266" s="14" t="str">
        <f>RTD("esrtd",,"*H",$A$1,"Low","D",,"262")</f>
        <v/>
      </c>
      <c r="E266" s="14" t="str">
        <f>RTD("esrtd",,"*H",$A$1,"Last","D",,"262")</f>
        <v/>
      </c>
    </row>
    <row r="267" spans="1:5" x14ac:dyDescent="0.25">
      <c r="A267" s="13" t="str">
        <f>RTD("esrtd",,"*H",$A$1,"BarTime","D",,"263")</f>
        <v/>
      </c>
      <c r="B267" s="14" t="str">
        <f>RTD("esrtd",,"*H",$A$1,"Open","D",,"263")</f>
        <v/>
      </c>
      <c r="C267" s="14" t="str">
        <f>RTD("esrtd",,"*H",$A$1,"High","D",,"263")</f>
        <v/>
      </c>
      <c r="D267" s="14" t="str">
        <f>RTD("esrtd",,"*H",$A$1,"Low","D",,"263")</f>
        <v/>
      </c>
      <c r="E267" s="14" t="str">
        <f>RTD("esrtd",,"*H",$A$1,"Last","D",,"263")</f>
        <v/>
      </c>
    </row>
    <row r="268" spans="1:5" x14ac:dyDescent="0.25">
      <c r="A268" s="13" t="str">
        <f>RTD("esrtd",,"*H",$A$1,"BarTime","D",,"264")</f>
        <v/>
      </c>
      <c r="B268" s="14" t="str">
        <f>RTD("esrtd",,"*H",$A$1,"Open","D",,"264")</f>
        <v/>
      </c>
      <c r="C268" s="14" t="str">
        <f>RTD("esrtd",,"*H",$A$1,"High","D",,"264")</f>
        <v/>
      </c>
      <c r="D268" s="14" t="str">
        <f>RTD("esrtd",,"*H",$A$1,"Low","D",,"264")</f>
        <v/>
      </c>
      <c r="E268" s="14" t="str">
        <f>RTD("esrtd",,"*H",$A$1,"Last","D",,"264")</f>
        <v/>
      </c>
    </row>
  </sheetData>
  <mergeCells count="1"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Ash</cp:lastModifiedBy>
  <dcterms:created xsi:type="dcterms:W3CDTF">2010-09-22T23:48:46Z</dcterms:created>
  <dcterms:modified xsi:type="dcterms:W3CDTF">2010-09-22T23:54:21Z</dcterms:modified>
</cp:coreProperties>
</file>