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agar\Desktop\Site\Excel\"/>
    </mc:Choice>
  </mc:AlternateContent>
  <bookViews>
    <workbookView xWindow="0" yWindow="0" windowWidth="4590" windowHeight="2985"/>
  </bookViews>
  <sheets>
    <sheet name="Sheet1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2" i="7" l="1"/>
  <c r="E274" i="7"/>
  <c r="O255" i="7"/>
  <c r="K237" i="7"/>
  <c r="G219" i="7"/>
  <c r="C201" i="7"/>
  <c r="M182" i="7"/>
  <c r="I164" i="7"/>
  <c r="E146" i="7"/>
  <c r="O127" i="7"/>
  <c r="K109" i="7"/>
  <c r="G91" i="7"/>
  <c r="C73" i="7"/>
  <c r="M54" i="7"/>
  <c r="I36" i="7"/>
  <c r="E18" i="7"/>
  <c r="L304" i="7"/>
  <c r="E306" i="7"/>
  <c r="O287" i="7"/>
  <c r="K269" i="7"/>
  <c r="G251" i="7"/>
  <c r="C233" i="7"/>
  <c r="M214" i="7"/>
  <c r="I196" i="7"/>
  <c r="E178" i="7"/>
  <c r="O159" i="7"/>
  <c r="K141" i="7"/>
  <c r="G123" i="7"/>
  <c r="C105" i="7"/>
  <c r="M86" i="7"/>
  <c r="I68" i="7"/>
  <c r="E50" i="7"/>
  <c r="O31" i="7"/>
  <c r="K13" i="7"/>
  <c r="D300" i="7"/>
  <c r="K301" i="7"/>
  <c r="G283" i="7"/>
  <c r="C265" i="7"/>
  <c r="M246" i="7"/>
  <c r="I228" i="7"/>
  <c r="E210" i="7"/>
  <c r="O191" i="7"/>
  <c r="K173" i="7"/>
  <c r="G155" i="7"/>
  <c r="C137" i="7"/>
  <c r="M118" i="7"/>
  <c r="I100" i="7"/>
  <c r="E82" i="7"/>
  <c r="O63" i="7"/>
  <c r="K45" i="7"/>
  <c r="G27" i="7"/>
  <c r="C9" i="7"/>
  <c r="J295" i="7"/>
  <c r="F277" i="7"/>
  <c r="B259" i="7"/>
  <c r="L240" i="7"/>
  <c r="H222" i="7"/>
  <c r="D204" i="7"/>
  <c r="N185" i="7"/>
  <c r="E292" i="7"/>
  <c r="O273" i="7"/>
  <c r="K255" i="7"/>
  <c r="G237" i="7"/>
  <c r="C219" i="7"/>
  <c r="M200" i="7"/>
  <c r="I182" i="7"/>
  <c r="E164" i="7"/>
  <c r="O145" i="7"/>
  <c r="K127" i="7"/>
  <c r="G109" i="7"/>
  <c r="C91" i="7"/>
  <c r="M72" i="7"/>
  <c r="C297" i="7"/>
  <c r="M278" i="7"/>
  <c r="I260" i="7"/>
  <c r="E242" i="7"/>
  <c r="O223" i="7"/>
  <c r="K205" i="7"/>
  <c r="G187" i="7"/>
  <c r="C169" i="7"/>
  <c r="M150" i="7"/>
  <c r="I132" i="7"/>
  <c r="E114" i="7"/>
  <c r="O95" i="7"/>
  <c r="K77" i="7"/>
  <c r="G59" i="7"/>
  <c r="C41" i="7"/>
  <c r="M22" i="7"/>
  <c r="I4" i="7"/>
  <c r="B291" i="7"/>
  <c r="L272" i="7"/>
  <c r="H254" i="7"/>
  <c r="D236" i="7"/>
  <c r="N217" i="7"/>
  <c r="J199" i="7"/>
  <c r="F181" i="7"/>
  <c r="O305" i="7"/>
  <c r="K287" i="7"/>
  <c r="G269" i="7"/>
  <c r="C251" i="7"/>
  <c r="M232" i="7"/>
  <c r="I214" i="7"/>
  <c r="E196" i="7"/>
  <c r="O177" i="7"/>
  <c r="K159" i="7"/>
  <c r="G141" i="7"/>
  <c r="C123" i="7"/>
  <c r="M104" i="7"/>
  <c r="I86" i="7"/>
  <c r="H286" i="7"/>
  <c r="N249" i="7"/>
  <c r="F213" i="7"/>
  <c r="L176" i="7"/>
  <c r="G301" i="7"/>
  <c r="M264" i="7"/>
  <c r="E228" i="7"/>
  <c r="K191" i="7"/>
  <c r="C155" i="7"/>
  <c r="I118" i="7"/>
  <c r="O81" i="7"/>
  <c r="C59" i="7"/>
  <c r="M40" i="7"/>
  <c r="I22" i="7"/>
  <c r="E4" i="7"/>
  <c r="L290" i="7"/>
  <c r="H272" i="7"/>
  <c r="D254" i="7"/>
  <c r="N235" i="7"/>
  <c r="J217" i="7"/>
  <c r="F199" i="7"/>
  <c r="B181" i="7"/>
  <c r="I304" i="7"/>
  <c r="E286" i="7"/>
  <c r="O267" i="7"/>
  <c r="K249" i="7"/>
  <c r="G231" i="7"/>
  <c r="C213" i="7"/>
  <c r="M194" i="7"/>
  <c r="I176" i="7"/>
  <c r="E158" i="7"/>
  <c r="O139" i="7"/>
  <c r="K121" i="7"/>
  <c r="G103" i="7"/>
  <c r="C85" i="7"/>
  <c r="M66" i="7"/>
  <c r="I48" i="7"/>
  <c r="E30" i="7"/>
  <c r="O11" i="7"/>
  <c r="H298" i="7"/>
  <c r="D280" i="7"/>
  <c r="N261" i="7"/>
  <c r="J243" i="7"/>
  <c r="F225" i="7"/>
  <c r="B207" i="7"/>
  <c r="L188" i="7"/>
  <c r="H170" i="7"/>
  <c r="M308" i="7"/>
  <c r="I290" i="7"/>
  <c r="E272" i="7"/>
  <c r="O253" i="7"/>
  <c r="K235" i="7"/>
  <c r="C305" i="7"/>
  <c r="M286" i="7"/>
  <c r="I268" i="7"/>
  <c r="E250" i="7"/>
  <c r="O231" i="7"/>
  <c r="K213" i="7"/>
  <c r="G195" i="7"/>
  <c r="C177" i="7"/>
  <c r="M158" i="7"/>
  <c r="I140" i="7"/>
  <c r="E122" i="7"/>
  <c r="O103" i="7"/>
  <c r="K85" i="7"/>
  <c r="G67" i="7"/>
  <c r="C49" i="7"/>
  <c r="M30" i="7"/>
  <c r="I12" i="7"/>
  <c r="B299" i="7"/>
  <c r="L280" i="7"/>
  <c r="H262" i="7"/>
  <c r="D244" i="7"/>
  <c r="N225" i="7"/>
  <c r="J207" i="7"/>
  <c r="F189" i="7"/>
  <c r="K295" i="7"/>
  <c r="G277" i="7"/>
  <c r="C259" i="7"/>
  <c r="M240" i="7"/>
  <c r="I222" i="7"/>
  <c r="E204" i="7"/>
  <c r="O185" i="7"/>
  <c r="K167" i="7"/>
  <c r="G149" i="7"/>
  <c r="C131" i="7"/>
  <c r="M112" i="7"/>
  <c r="I94" i="7"/>
  <c r="E76" i="7"/>
  <c r="O57" i="7"/>
  <c r="K39" i="7"/>
  <c r="G21" i="7"/>
  <c r="C3" i="7"/>
  <c r="N307" i="7"/>
  <c r="J289" i="7"/>
  <c r="F271" i="7"/>
  <c r="B253" i="7"/>
  <c r="L234" i="7"/>
  <c r="H216" i="7"/>
  <c r="D198" i="7"/>
  <c r="N179" i="7"/>
  <c r="G303" i="7"/>
  <c r="C285" i="7"/>
  <c r="M266" i="7"/>
  <c r="I248" i="7"/>
  <c r="E230" i="7"/>
  <c r="O211" i="7"/>
  <c r="K193" i="7"/>
  <c r="G175" i="7"/>
  <c r="C157" i="7"/>
  <c r="M138" i="7"/>
  <c r="I120" i="7"/>
  <c r="E102" i="7"/>
  <c r="O83" i="7"/>
  <c r="K65" i="7"/>
  <c r="G47" i="7"/>
  <c r="C29" i="7"/>
  <c r="M10" i="7"/>
  <c r="F297" i="7"/>
  <c r="B279" i="7"/>
  <c r="L260" i="7"/>
  <c r="H242" i="7"/>
  <c r="D224" i="7"/>
  <c r="N205" i="7"/>
  <c r="J187" i="7"/>
  <c r="F169" i="7"/>
  <c r="K307" i="7"/>
  <c r="G289" i="7"/>
  <c r="C271" i="7"/>
  <c r="O303" i="7"/>
  <c r="K285" i="7"/>
  <c r="G267" i="7"/>
  <c r="C249" i="7"/>
  <c r="M230" i="7"/>
  <c r="I212" i="7"/>
  <c r="E194" i="7"/>
  <c r="O175" i="7"/>
  <c r="K157" i="7"/>
  <c r="G139" i="7"/>
  <c r="C121" i="7"/>
  <c r="M102" i="7"/>
  <c r="I84" i="7"/>
  <c r="E66" i="7"/>
  <c r="O47" i="7"/>
  <c r="K29" i="7"/>
  <c r="G11" i="7"/>
  <c r="N297" i="7"/>
  <c r="J279" i="7"/>
  <c r="F261" i="7"/>
  <c r="B243" i="7"/>
  <c r="L224" i="7"/>
  <c r="H206" i="7"/>
  <c r="D188" i="7"/>
  <c r="I294" i="7"/>
  <c r="E276" i="7"/>
  <c r="O257" i="7"/>
  <c r="K239" i="7"/>
  <c r="G221" i="7"/>
  <c r="C203" i="7"/>
  <c r="M184" i="7"/>
  <c r="I166" i="7"/>
  <c r="E148" i="7"/>
  <c r="O129" i="7"/>
  <c r="K111" i="7"/>
  <c r="G93" i="7"/>
  <c r="C75" i="7"/>
  <c r="M56" i="7"/>
  <c r="I38" i="7"/>
  <c r="E20" i="7"/>
  <c r="L306" i="7"/>
  <c r="H288" i="7"/>
  <c r="D270" i="7"/>
  <c r="N251" i="7"/>
  <c r="J233" i="7"/>
  <c r="F215" i="7"/>
  <c r="B197" i="7"/>
  <c r="L178" i="7"/>
  <c r="E302" i="7"/>
  <c r="O283" i="7"/>
  <c r="K265" i="7"/>
  <c r="G247" i="7"/>
  <c r="C229" i="7"/>
  <c r="M210" i="7"/>
  <c r="I192" i="7"/>
  <c r="E174" i="7"/>
  <c r="O155" i="7"/>
  <c r="K137" i="7"/>
  <c r="G119" i="7"/>
  <c r="C101" i="7"/>
  <c r="M82" i="7"/>
  <c r="I64" i="7"/>
  <c r="E46" i="7"/>
  <c r="O27" i="7"/>
  <c r="K9" i="7"/>
  <c r="D296" i="7"/>
  <c r="N277" i="7"/>
  <c r="J259" i="7"/>
  <c r="F241" i="7"/>
  <c r="B223" i="7"/>
  <c r="L204" i="7"/>
  <c r="H186" i="7"/>
  <c r="D168" i="7"/>
  <c r="I306" i="7"/>
  <c r="E298" i="7"/>
  <c r="O279" i="7"/>
  <c r="K261" i="7"/>
  <c r="G243" i="7"/>
  <c r="C225" i="7"/>
  <c r="M206" i="7"/>
  <c r="I188" i="7"/>
  <c r="E170" i="7"/>
  <c r="O151" i="7"/>
  <c r="K133" i="7"/>
  <c r="G115" i="7"/>
  <c r="C97" i="7"/>
  <c r="M78" i="7"/>
  <c r="I60" i="7"/>
  <c r="E42" i="7"/>
  <c r="O23" i="7"/>
  <c r="K5" i="7"/>
  <c r="D292" i="7"/>
  <c r="N273" i="7"/>
  <c r="J255" i="7"/>
  <c r="F237" i="7"/>
  <c r="B219" i="7"/>
  <c r="L200" i="7"/>
  <c r="H182" i="7"/>
  <c r="C307" i="7"/>
  <c r="M288" i="7"/>
  <c r="I270" i="7"/>
  <c r="E252" i="7"/>
  <c r="O233" i="7"/>
  <c r="K215" i="7"/>
  <c r="G197" i="7"/>
  <c r="C179" i="7"/>
  <c r="M160" i="7"/>
  <c r="I142" i="7"/>
  <c r="E124" i="7"/>
  <c r="O105" i="7"/>
  <c r="K87" i="7"/>
  <c r="G69" i="7"/>
  <c r="C51" i="7"/>
  <c r="M32" i="7"/>
  <c r="I14" i="7"/>
  <c r="B301" i="7"/>
  <c r="L282" i="7"/>
  <c r="H264" i="7"/>
  <c r="D246" i="7"/>
  <c r="N227" i="7"/>
  <c r="J209" i="7"/>
  <c r="F191" i="7"/>
  <c r="I296" i="7"/>
  <c r="E278" i="7"/>
  <c r="O259" i="7"/>
  <c r="K241" i="7"/>
  <c r="G223" i="7"/>
  <c r="C205" i="7"/>
  <c r="M186" i="7"/>
  <c r="I168" i="7"/>
  <c r="E150" i="7"/>
  <c r="O131" i="7"/>
  <c r="K113" i="7"/>
  <c r="G95" i="7"/>
  <c r="C77" i="7"/>
  <c r="M58" i="7"/>
  <c r="I40" i="7"/>
  <c r="E22" i="7"/>
  <c r="O3" i="7"/>
  <c r="L308" i="7"/>
  <c r="H290" i="7"/>
  <c r="D272" i="7"/>
  <c r="N253" i="7"/>
  <c r="J235" i="7"/>
  <c r="F217" i="7"/>
  <c r="B199" i="7"/>
  <c r="L180" i="7"/>
  <c r="H162" i="7"/>
  <c r="M300" i="7"/>
  <c r="I282" i="7"/>
  <c r="E264" i="7"/>
  <c r="O245" i="7"/>
  <c r="O301" i="7"/>
  <c r="C247" i="7"/>
  <c r="K219" i="7"/>
  <c r="G201" i="7"/>
  <c r="C183" i="7"/>
  <c r="M164" i="7"/>
  <c r="I146" i="7"/>
  <c r="E128" i="7"/>
  <c r="O109" i="7"/>
  <c r="K91" i="7"/>
  <c r="G73" i="7"/>
  <c r="C55" i="7"/>
  <c r="M36" i="7"/>
  <c r="I18" i="7"/>
  <c r="B305" i="7"/>
  <c r="L286" i="7"/>
  <c r="H268" i="7"/>
  <c r="D250" i="7"/>
  <c r="N231" i="7"/>
  <c r="J213" i="7"/>
  <c r="F195" i="7"/>
  <c r="B177" i="7"/>
  <c r="B163" i="7"/>
  <c r="D144" i="7"/>
  <c r="N125" i="7"/>
  <c r="J107" i="7"/>
  <c r="F89" i="7"/>
  <c r="B71" i="7"/>
  <c r="L52" i="7"/>
  <c r="H34" i="7"/>
  <c r="D16" i="7"/>
  <c r="C274" i="7"/>
  <c r="I237" i="7"/>
  <c r="O200" i="7"/>
  <c r="G164" i="7"/>
  <c r="M127" i="7"/>
  <c r="J167" i="7"/>
  <c r="F147" i="7"/>
  <c r="B129" i="7"/>
  <c r="L110" i="7"/>
  <c r="H92" i="7"/>
  <c r="D74" i="7"/>
  <c r="N55" i="7"/>
  <c r="J37" i="7"/>
  <c r="F19" i="7"/>
  <c r="G280" i="7"/>
  <c r="M243" i="7"/>
  <c r="E207" i="7"/>
  <c r="K170" i="7"/>
  <c r="C134" i="7"/>
  <c r="D174" i="7"/>
  <c r="H150" i="7"/>
  <c r="D132" i="7"/>
  <c r="N113" i="7"/>
  <c r="J95" i="7"/>
  <c r="F77" i="7"/>
  <c r="B59" i="7"/>
  <c r="L40" i="7"/>
  <c r="H22" i="7"/>
  <c r="D4" i="7"/>
  <c r="K286" i="7"/>
  <c r="C250" i="7"/>
  <c r="I213" i="7"/>
  <c r="O176" i="7"/>
  <c r="G140" i="7"/>
  <c r="M103" i="7"/>
  <c r="E67" i="7"/>
  <c r="K30" i="7"/>
  <c r="B171" i="7"/>
  <c r="B149" i="7"/>
  <c r="L130" i="7"/>
  <c r="H112" i="7"/>
  <c r="D94" i="7"/>
  <c r="N75" i="7"/>
  <c r="J57" i="7"/>
  <c r="F39" i="7"/>
  <c r="B21" i="7"/>
  <c r="L2" i="7"/>
  <c r="C279" i="7"/>
  <c r="I234" i="7"/>
  <c r="O213" i="7"/>
  <c r="K195" i="7"/>
  <c r="G177" i="7"/>
  <c r="C159" i="7"/>
  <c r="M140" i="7"/>
  <c r="I122" i="7"/>
  <c r="E104" i="7"/>
  <c r="O85" i="7"/>
  <c r="K67" i="7"/>
  <c r="G49" i="7"/>
  <c r="C31" i="7"/>
  <c r="M12" i="7"/>
  <c r="F299" i="7"/>
  <c r="B281" i="7"/>
  <c r="L262" i="7"/>
  <c r="H244" i="7"/>
  <c r="D226" i="7"/>
  <c r="N207" i="7"/>
  <c r="J189" i="7"/>
  <c r="F171" i="7"/>
  <c r="L156" i="7"/>
  <c r="H138" i="7"/>
  <c r="D120" i="7"/>
  <c r="N101" i="7"/>
  <c r="J83" i="7"/>
  <c r="F65" i="7"/>
  <c r="B47" i="7"/>
  <c r="L28" i="7"/>
  <c r="H10" i="7"/>
  <c r="E299" i="7"/>
  <c r="K262" i="7"/>
  <c r="C226" i="7"/>
  <c r="I189" i="7"/>
  <c r="O152" i="7"/>
  <c r="G116" i="7"/>
  <c r="N159" i="7"/>
  <c r="J141" i="7"/>
  <c r="F123" i="7"/>
  <c r="B105" i="7"/>
  <c r="L86" i="7"/>
  <c r="H68" i="7"/>
  <c r="D50" i="7"/>
  <c r="N31" i="7"/>
  <c r="J13" i="7"/>
  <c r="I305" i="7"/>
  <c r="O268" i="7"/>
  <c r="G232" i="7"/>
  <c r="M195" i="7"/>
  <c r="E159" i="7"/>
  <c r="K122" i="7"/>
  <c r="N163" i="7"/>
  <c r="L144" i="7"/>
  <c r="H126" i="7"/>
  <c r="D108" i="7"/>
  <c r="N89" i="7"/>
  <c r="J71" i="7"/>
  <c r="F53" i="7"/>
  <c r="B35" i="7"/>
  <c r="L16" i="7"/>
  <c r="E275" i="7"/>
  <c r="K238" i="7"/>
  <c r="C202" i="7"/>
  <c r="I165" i="7"/>
  <c r="O128" i="7"/>
  <c r="G92" i="7"/>
  <c r="M55" i="7"/>
  <c r="E19" i="7"/>
  <c r="N161" i="7"/>
  <c r="F143" i="7"/>
  <c r="B125" i="7"/>
  <c r="L106" i="7"/>
  <c r="H88" i="7"/>
  <c r="D70" i="7"/>
  <c r="N51" i="7"/>
  <c r="J33" i="7"/>
  <c r="F15" i="7"/>
  <c r="M260" i="7"/>
  <c r="I226" i="7"/>
  <c r="E208" i="7"/>
  <c r="N281" i="7"/>
  <c r="F245" i="7"/>
  <c r="L208" i="7"/>
  <c r="M296" i="7"/>
  <c r="E260" i="7"/>
  <c r="K223" i="7"/>
  <c r="C187" i="7"/>
  <c r="I150" i="7"/>
  <c r="O113" i="7"/>
  <c r="G77" i="7"/>
  <c r="I54" i="7"/>
  <c r="E36" i="7"/>
  <c r="O17" i="7"/>
  <c r="H304" i="7"/>
  <c r="D286" i="7"/>
  <c r="N267" i="7"/>
  <c r="J249" i="7"/>
  <c r="F231" i="7"/>
  <c r="B213" i="7"/>
  <c r="L194" i="7"/>
  <c r="H176" i="7"/>
  <c r="O299" i="7"/>
  <c r="K281" i="7"/>
  <c r="G263" i="7"/>
  <c r="C245" i="7"/>
  <c r="M226" i="7"/>
  <c r="I208" i="7"/>
  <c r="E190" i="7"/>
  <c r="O171" i="7"/>
  <c r="K153" i="7"/>
  <c r="G135" i="7"/>
  <c r="C117" i="7"/>
  <c r="M98" i="7"/>
  <c r="I80" i="7"/>
  <c r="E62" i="7"/>
  <c r="O43" i="7"/>
  <c r="K25" i="7"/>
  <c r="G7" i="7"/>
  <c r="N293" i="7"/>
  <c r="J275" i="7"/>
  <c r="F257" i="7"/>
  <c r="B239" i="7"/>
  <c r="L220" i="7"/>
  <c r="H202" i="7"/>
  <c r="D184" i="7"/>
  <c r="N165" i="7"/>
  <c r="E304" i="7"/>
  <c r="O285" i="7"/>
  <c r="K267" i="7"/>
  <c r="G249" i="7"/>
  <c r="C231" i="7"/>
  <c r="I300" i="7"/>
  <c r="E282" i="7"/>
  <c r="O263" i="7"/>
  <c r="K245" i="7"/>
  <c r="G227" i="7"/>
  <c r="C209" i="7"/>
  <c r="M190" i="7"/>
  <c r="I172" i="7"/>
  <c r="E154" i="7"/>
  <c r="O135" i="7"/>
  <c r="K117" i="7"/>
  <c r="G99" i="7"/>
  <c r="C81" i="7"/>
  <c r="M62" i="7"/>
  <c r="I44" i="7"/>
  <c r="E26" i="7"/>
  <c r="O7" i="7"/>
  <c r="H294" i="7"/>
  <c r="D276" i="7"/>
  <c r="N257" i="7"/>
  <c r="J239" i="7"/>
  <c r="F221" i="7"/>
  <c r="B203" i="7"/>
  <c r="L184" i="7"/>
  <c r="C291" i="7"/>
  <c r="M272" i="7"/>
  <c r="I254" i="7"/>
  <c r="E236" i="7"/>
  <c r="O217" i="7"/>
  <c r="K199" i="7"/>
  <c r="G181" i="7"/>
  <c r="C163" i="7"/>
  <c r="M144" i="7"/>
  <c r="I126" i="7"/>
  <c r="E108" i="7"/>
  <c r="O89" i="7"/>
  <c r="K71" i="7"/>
  <c r="G53" i="7"/>
  <c r="C35" i="7"/>
  <c r="M16" i="7"/>
  <c r="F303" i="7"/>
  <c r="B285" i="7"/>
  <c r="L266" i="7"/>
  <c r="H248" i="7"/>
  <c r="D230" i="7"/>
  <c r="N211" i="7"/>
  <c r="J193" i="7"/>
  <c r="M298" i="7"/>
  <c r="I280" i="7"/>
  <c r="E262" i="7"/>
  <c r="O243" i="7"/>
  <c r="K225" i="7"/>
  <c r="G207" i="7"/>
  <c r="C189" i="7"/>
  <c r="M170" i="7"/>
  <c r="I152" i="7"/>
  <c r="E134" i="7"/>
  <c r="O115" i="7"/>
  <c r="K97" i="7"/>
  <c r="G79" i="7"/>
  <c r="C61" i="7"/>
  <c r="M42" i="7"/>
  <c r="I24" i="7"/>
  <c r="E6" i="7"/>
  <c r="L292" i="7"/>
  <c r="H274" i="7"/>
  <c r="D256" i="7"/>
  <c r="N237" i="7"/>
  <c r="J219" i="7"/>
  <c r="F201" i="7"/>
  <c r="B183" i="7"/>
  <c r="L164" i="7"/>
  <c r="C303" i="7"/>
  <c r="M284" i="7"/>
  <c r="I266" i="7"/>
  <c r="G299" i="7"/>
  <c r="C281" i="7"/>
  <c r="M262" i="7"/>
  <c r="I244" i="7"/>
  <c r="E226" i="7"/>
  <c r="O207" i="7"/>
  <c r="K189" i="7"/>
  <c r="G171" i="7"/>
  <c r="C153" i="7"/>
  <c r="M134" i="7"/>
  <c r="I116" i="7"/>
  <c r="E98" i="7"/>
  <c r="O79" i="7"/>
  <c r="K61" i="7"/>
  <c r="G43" i="7"/>
  <c r="C25" i="7"/>
  <c r="M6" i="7"/>
  <c r="F293" i="7"/>
  <c r="B275" i="7"/>
  <c r="L256" i="7"/>
  <c r="H238" i="7"/>
  <c r="D220" i="7"/>
  <c r="N201" i="7"/>
  <c r="J183" i="7"/>
  <c r="E308" i="7"/>
  <c r="O289" i="7"/>
  <c r="K271" i="7"/>
  <c r="G253" i="7"/>
  <c r="C235" i="7"/>
  <c r="M216" i="7"/>
  <c r="I198" i="7"/>
  <c r="E180" i="7"/>
  <c r="O161" i="7"/>
  <c r="K143" i="7"/>
  <c r="G125" i="7"/>
  <c r="C107" i="7"/>
  <c r="M88" i="7"/>
  <c r="I70" i="7"/>
  <c r="E52" i="7"/>
  <c r="O33" i="7"/>
  <c r="K15" i="7"/>
  <c r="D302" i="7"/>
  <c r="N283" i="7"/>
  <c r="J265" i="7"/>
  <c r="F247" i="7"/>
  <c r="B229" i="7"/>
  <c r="L210" i="7"/>
  <c r="H192" i="7"/>
  <c r="K297" i="7"/>
  <c r="G279" i="7"/>
  <c r="C261" i="7"/>
  <c r="M242" i="7"/>
  <c r="I224" i="7"/>
  <c r="E206" i="7"/>
  <c r="O187" i="7"/>
  <c r="K169" i="7"/>
  <c r="G151" i="7"/>
  <c r="C133" i="7"/>
  <c r="M114" i="7"/>
  <c r="I96" i="7"/>
  <c r="E78" i="7"/>
  <c r="O59" i="7"/>
  <c r="K41" i="7"/>
  <c r="G23" i="7"/>
  <c r="C5" i="7"/>
  <c r="J291" i="7"/>
  <c r="F273" i="7"/>
  <c r="B255" i="7"/>
  <c r="L236" i="7"/>
  <c r="H218" i="7"/>
  <c r="D200" i="7"/>
  <c r="N181" i="7"/>
  <c r="J163" i="7"/>
  <c r="K293" i="7"/>
  <c r="G275" i="7"/>
  <c r="C257" i="7"/>
  <c r="M238" i="7"/>
  <c r="I220" i="7"/>
  <c r="E202" i="7"/>
  <c r="O183" i="7"/>
  <c r="K165" i="7"/>
  <c r="G147" i="7"/>
  <c r="C129" i="7"/>
  <c r="M110" i="7"/>
  <c r="I92" i="7"/>
  <c r="E74" i="7"/>
  <c r="O55" i="7"/>
  <c r="K37" i="7"/>
  <c r="G19" i="7"/>
  <c r="N305" i="7"/>
  <c r="J287" i="7"/>
  <c r="F269" i="7"/>
  <c r="B251" i="7"/>
  <c r="L232" i="7"/>
  <c r="H214" i="7"/>
  <c r="D196" i="7"/>
  <c r="N177" i="7"/>
  <c r="I302" i="7"/>
  <c r="E284" i="7"/>
  <c r="O265" i="7"/>
  <c r="K247" i="7"/>
  <c r="G229" i="7"/>
  <c r="C211" i="7"/>
  <c r="M192" i="7"/>
  <c r="I174" i="7"/>
  <c r="E156" i="7"/>
  <c r="O137" i="7"/>
  <c r="K119" i="7"/>
  <c r="G101" i="7"/>
  <c r="C83" i="7"/>
  <c r="M64" i="7"/>
  <c r="I46" i="7"/>
  <c r="E28" i="7"/>
  <c r="O9" i="7"/>
  <c r="H296" i="7"/>
  <c r="D278" i="7"/>
  <c r="N259" i="7"/>
  <c r="J241" i="7"/>
  <c r="F223" i="7"/>
  <c r="B205" i="7"/>
  <c r="L186" i="7"/>
  <c r="O291" i="7"/>
  <c r="K273" i="7"/>
  <c r="G255" i="7"/>
  <c r="C237" i="7"/>
  <c r="M218" i="7"/>
  <c r="I200" i="7"/>
  <c r="E182" i="7"/>
  <c r="O163" i="7"/>
  <c r="K145" i="7"/>
  <c r="G127" i="7"/>
  <c r="C109" i="7"/>
  <c r="M90" i="7"/>
  <c r="I72" i="7"/>
  <c r="E54" i="7"/>
  <c r="O35" i="7"/>
  <c r="K17" i="7"/>
  <c r="D304" i="7"/>
  <c r="N285" i="7"/>
  <c r="J267" i="7"/>
  <c r="F249" i="7"/>
  <c r="B231" i="7"/>
  <c r="L212" i="7"/>
  <c r="H194" i="7"/>
  <c r="D176" i="7"/>
  <c r="E296" i="7"/>
  <c r="O277" i="7"/>
  <c r="K259" i="7"/>
  <c r="G241" i="7"/>
  <c r="K283" i="7"/>
  <c r="O237" i="7"/>
  <c r="C215" i="7"/>
  <c r="M196" i="7"/>
  <c r="I178" i="7"/>
  <c r="E160" i="7"/>
  <c r="O141" i="7"/>
  <c r="K123" i="7"/>
  <c r="G105" i="7"/>
  <c r="C87" i="7"/>
  <c r="M68" i="7"/>
  <c r="I50" i="7"/>
  <c r="E32" i="7"/>
  <c r="O13" i="7"/>
  <c r="H300" i="7"/>
  <c r="D282" i="7"/>
  <c r="N263" i="7"/>
  <c r="J245" i="7"/>
  <c r="F227" i="7"/>
  <c r="B209" i="7"/>
  <c r="L190" i="7"/>
  <c r="H172" i="7"/>
  <c r="N157" i="7"/>
  <c r="J139" i="7"/>
  <c r="F121" i="7"/>
  <c r="B103" i="7"/>
  <c r="L84" i="7"/>
  <c r="H66" i="7"/>
  <c r="D48" i="7"/>
  <c r="N29" i="7"/>
  <c r="J11" i="7"/>
  <c r="I301" i="7"/>
  <c r="O264" i="7"/>
  <c r="G228" i="7"/>
  <c r="M191" i="7"/>
  <c r="E155" i="7"/>
  <c r="K118" i="7"/>
  <c r="B161" i="7"/>
  <c r="L142" i="7"/>
  <c r="H124" i="7"/>
  <c r="D106" i="7"/>
  <c r="N87" i="7"/>
  <c r="J69" i="7"/>
  <c r="F51" i="7"/>
  <c r="B33" i="7"/>
  <c r="L14" i="7"/>
  <c r="M307" i="7"/>
  <c r="E271" i="7"/>
  <c r="K234" i="7"/>
  <c r="C198" i="7"/>
  <c r="I161" i="7"/>
  <c r="O124" i="7"/>
  <c r="F165" i="7"/>
  <c r="N145" i="7"/>
  <c r="J127" i="7"/>
  <c r="F109" i="7"/>
  <c r="B91" i="7"/>
  <c r="L72" i="7"/>
  <c r="H54" i="7"/>
  <c r="D36" i="7"/>
  <c r="N17" i="7"/>
  <c r="I277" i="7"/>
  <c r="O240" i="7"/>
  <c r="G204" i="7"/>
  <c r="M167" i="7"/>
  <c r="E131" i="7"/>
  <c r="K94" i="7"/>
  <c r="C58" i="7"/>
  <c r="I21" i="7"/>
  <c r="F163" i="7"/>
  <c r="H144" i="7"/>
  <c r="D126" i="7"/>
  <c r="N107" i="7"/>
  <c r="J89" i="7"/>
  <c r="F71" i="7"/>
  <c r="B53" i="7"/>
  <c r="L34" i="7"/>
  <c r="H16" i="7"/>
  <c r="O261" i="7"/>
  <c r="K227" i="7"/>
  <c r="G209" i="7"/>
  <c r="C191" i="7"/>
  <c r="M172" i="7"/>
  <c r="I154" i="7"/>
  <c r="E136" i="7"/>
  <c r="O117" i="7"/>
  <c r="K99" i="7"/>
  <c r="G81" i="7"/>
  <c r="C63" i="7"/>
  <c r="M44" i="7"/>
  <c r="I26" i="7"/>
  <c r="E8" i="7"/>
  <c r="L294" i="7"/>
  <c r="H276" i="7"/>
  <c r="D258" i="7"/>
  <c r="N239" i="7"/>
  <c r="J221" i="7"/>
  <c r="F203" i="7"/>
  <c r="B185" i="7"/>
  <c r="L166" i="7"/>
  <c r="D152" i="7"/>
  <c r="N133" i="7"/>
  <c r="J115" i="7"/>
  <c r="F97" i="7"/>
  <c r="B79" i="7"/>
  <c r="L60" i="7"/>
  <c r="H42" i="7"/>
  <c r="D24" i="7"/>
  <c r="N5" i="7"/>
  <c r="C290" i="7"/>
  <c r="I253" i="7"/>
  <c r="O216" i="7"/>
  <c r="G180" i="7"/>
  <c r="M143" i="7"/>
  <c r="E107" i="7"/>
  <c r="F155" i="7"/>
  <c r="B137" i="7"/>
  <c r="L118" i="7"/>
  <c r="H100" i="7"/>
  <c r="D82" i="7"/>
  <c r="N63" i="7"/>
  <c r="J45" i="7"/>
  <c r="F27" i="7"/>
  <c r="B9" i="7"/>
  <c r="G296" i="7"/>
  <c r="M259" i="7"/>
  <c r="E223" i="7"/>
  <c r="K186" i="7"/>
  <c r="C150" i="7"/>
  <c r="I113" i="7"/>
  <c r="H158" i="7"/>
  <c r="D140" i="7"/>
  <c r="N121" i="7"/>
  <c r="J103" i="7"/>
  <c r="F85" i="7"/>
  <c r="B67" i="7"/>
  <c r="L48" i="7"/>
  <c r="H30" i="7"/>
  <c r="D12" i="7"/>
  <c r="K302" i="7"/>
  <c r="C266" i="7"/>
  <c r="I229" i="7"/>
  <c r="O192" i="7"/>
  <c r="G156" i="7"/>
  <c r="M119" i="7"/>
  <c r="E83" i="7"/>
  <c r="K46" i="7"/>
  <c r="C10" i="7"/>
  <c r="B157" i="7"/>
  <c r="L138" i="7"/>
  <c r="H120" i="7"/>
  <c r="D102" i="7"/>
  <c r="N83" i="7"/>
  <c r="J65" i="7"/>
  <c r="F47" i="7"/>
  <c r="B29" i="7"/>
  <c r="L10" i="7"/>
  <c r="K251" i="7"/>
  <c r="O221" i="7"/>
  <c r="K203" i="7"/>
  <c r="D268" i="7"/>
  <c r="J231" i="7"/>
  <c r="B195" i="7"/>
  <c r="C283" i="7"/>
  <c r="I246" i="7"/>
  <c r="O209" i="7"/>
  <c r="G173" i="7"/>
  <c r="M136" i="7"/>
  <c r="E100" i="7"/>
  <c r="E68" i="7"/>
  <c r="O49" i="7"/>
  <c r="K31" i="7"/>
  <c r="G13" i="7"/>
  <c r="N299" i="7"/>
  <c r="J281" i="7"/>
  <c r="F263" i="7"/>
  <c r="B245" i="7"/>
  <c r="L226" i="7"/>
  <c r="H208" i="7"/>
  <c r="D190" i="7"/>
  <c r="G295" i="7"/>
  <c r="C277" i="7"/>
  <c r="M258" i="7"/>
  <c r="I240" i="7"/>
  <c r="E222" i="7"/>
  <c r="O203" i="7"/>
  <c r="K185" i="7"/>
  <c r="G167" i="7"/>
  <c r="C149" i="7"/>
  <c r="M130" i="7"/>
  <c r="I112" i="7"/>
  <c r="E94" i="7"/>
  <c r="O75" i="7"/>
  <c r="K57" i="7"/>
  <c r="G39" i="7"/>
  <c r="C21" i="7"/>
  <c r="M2" i="7"/>
  <c r="J307" i="7"/>
  <c r="F289" i="7"/>
  <c r="B271" i="7"/>
  <c r="L252" i="7"/>
  <c r="H234" i="7"/>
  <c r="D216" i="7"/>
  <c r="N197" i="7"/>
  <c r="J179" i="7"/>
  <c r="F161" i="7"/>
  <c r="K299" i="7"/>
  <c r="G281" i="7"/>
  <c r="C263" i="7"/>
  <c r="M244" i="7"/>
  <c r="O295" i="7"/>
  <c r="K277" i="7"/>
  <c r="G259" i="7"/>
  <c r="C241" i="7"/>
  <c r="M222" i="7"/>
  <c r="I204" i="7"/>
  <c r="E186" i="7"/>
  <c r="O167" i="7"/>
  <c r="K149" i="7"/>
  <c r="G131" i="7"/>
  <c r="C113" i="7"/>
  <c r="M94" i="7"/>
  <c r="I76" i="7"/>
  <c r="E58" i="7"/>
  <c r="O39" i="7"/>
  <c r="K21" i="7"/>
  <c r="G3" i="7"/>
  <c r="D308" i="7"/>
  <c r="N289" i="7"/>
  <c r="J271" i="7"/>
  <c r="F253" i="7"/>
  <c r="B235" i="7"/>
  <c r="L216" i="7"/>
  <c r="H198" i="7"/>
  <c r="D180" i="7"/>
  <c r="M304" i="7"/>
  <c r="I286" i="7"/>
  <c r="E268" i="7"/>
  <c r="O249" i="7"/>
  <c r="K231" i="7"/>
  <c r="G213" i="7"/>
  <c r="C195" i="7"/>
  <c r="M176" i="7"/>
  <c r="I158" i="7"/>
  <c r="E140" i="7"/>
  <c r="O121" i="7"/>
  <c r="K103" i="7"/>
  <c r="G85" i="7"/>
  <c r="C67" i="7"/>
  <c r="M48" i="7"/>
  <c r="I30" i="7"/>
  <c r="E12" i="7"/>
  <c r="L298" i="7"/>
  <c r="H280" i="7"/>
  <c r="D262" i="7"/>
  <c r="N243" i="7"/>
  <c r="J225" i="7"/>
  <c r="F207" i="7"/>
  <c r="B189" i="7"/>
  <c r="E294" i="7"/>
  <c r="O275" i="7"/>
  <c r="K257" i="7"/>
  <c r="G239" i="7"/>
  <c r="C221" i="7"/>
  <c r="M202" i="7"/>
  <c r="I184" i="7"/>
  <c r="E166" i="7"/>
  <c r="O147" i="7"/>
  <c r="K129" i="7"/>
  <c r="G111" i="7"/>
  <c r="C93" i="7"/>
  <c r="M74" i="7"/>
  <c r="I56" i="7"/>
  <c r="E38" i="7"/>
  <c r="O19" i="7"/>
  <c r="H306" i="7"/>
  <c r="D288" i="7"/>
  <c r="N269" i="7"/>
  <c r="J251" i="7"/>
  <c r="F233" i="7"/>
  <c r="B215" i="7"/>
  <c r="L196" i="7"/>
  <c r="H178" i="7"/>
  <c r="I298" i="7"/>
  <c r="E280" i="7"/>
  <c r="M294" i="7"/>
  <c r="I276" i="7"/>
  <c r="E258" i="7"/>
  <c r="O239" i="7"/>
  <c r="K221" i="7"/>
  <c r="G203" i="7"/>
  <c r="C185" i="7"/>
  <c r="M166" i="7"/>
  <c r="I148" i="7"/>
  <c r="E130" i="7"/>
  <c r="O111" i="7"/>
  <c r="K93" i="7"/>
  <c r="G75" i="7"/>
  <c r="C57" i="7"/>
  <c r="M38" i="7"/>
  <c r="I20" i="7"/>
  <c r="C2" i="7"/>
  <c r="B307" i="7"/>
  <c r="L288" i="7"/>
  <c r="H270" i="7"/>
  <c r="D252" i="7"/>
  <c r="N233" i="7"/>
  <c r="J215" i="7"/>
  <c r="F197" i="7"/>
  <c r="B179" i="7"/>
  <c r="K303" i="7"/>
  <c r="G285" i="7"/>
  <c r="C267" i="7"/>
  <c r="M248" i="7"/>
  <c r="I230" i="7"/>
  <c r="E212" i="7"/>
  <c r="O193" i="7"/>
  <c r="K175" i="7"/>
  <c r="G157" i="7"/>
  <c r="C139" i="7"/>
  <c r="M120" i="7"/>
  <c r="I102" i="7"/>
  <c r="E84" i="7"/>
  <c r="O65" i="7"/>
  <c r="K47" i="7"/>
  <c r="G29" i="7"/>
  <c r="C11" i="7"/>
  <c r="J297" i="7"/>
  <c r="F279" i="7"/>
  <c r="B261" i="7"/>
  <c r="L242" i="7"/>
  <c r="H224" i="7"/>
  <c r="D206" i="7"/>
  <c r="N187" i="7"/>
  <c r="C293" i="7"/>
  <c r="M274" i="7"/>
  <c r="I256" i="7"/>
  <c r="E238" i="7"/>
  <c r="O219" i="7"/>
  <c r="K201" i="7"/>
  <c r="G183" i="7"/>
  <c r="C165" i="7"/>
  <c r="M146" i="7"/>
  <c r="I128" i="7"/>
  <c r="E110" i="7"/>
  <c r="O91" i="7"/>
  <c r="K73" i="7"/>
  <c r="G55" i="7"/>
  <c r="C37" i="7"/>
  <c r="M18" i="7"/>
  <c r="F305" i="7"/>
  <c r="B287" i="7"/>
  <c r="L268" i="7"/>
  <c r="H250" i="7"/>
  <c r="D232" i="7"/>
  <c r="N213" i="7"/>
  <c r="J195" i="7"/>
  <c r="F177" i="7"/>
  <c r="G307" i="7"/>
  <c r="C289" i="7"/>
  <c r="M270" i="7"/>
  <c r="I252" i="7"/>
  <c r="E234" i="7"/>
  <c r="O215" i="7"/>
  <c r="K197" i="7"/>
  <c r="G179" i="7"/>
  <c r="C161" i="7"/>
  <c r="M142" i="7"/>
  <c r="I124" i="7"/>
  <c r="E106" i="7"/>
  <c r="O87" i="7"/>
  <c r="K69" i="7"/>
  <c r="G51" i="7"/>
  <c r="C33" i="7"/>
  <c r="M14" i="7"/>
  <c r="F301" i="7"/>
  <c r="B283" i="7"/>
  <c r="L264" i="7"/>
  <c r="H246" i="7"/>
  <c r="D228" i="7"/>
  <c r="N209" i="7"/>
  <c r="J191" i="7"/>
  <c r="O297" i="7"/>
  <c r="K279" i="7"/>
  <c r="G261" i="7"/>
  <c r="C243" i="7"/>
  <c r="M224" i="7"/>
  <c r="I206" i="7"/>
  <c r="E188" i="7"/>
  <c r="O169" i="7"/>
  <c r="K151" i="7"/>
  <c r="G133" i="7"/>
  <c r="C115" i="7"/>
  <c r="M96" i="7"/>
  <c r="I78" i="7"/>
  <c r="E60" i="7"/>
  <c r="O41" i="7"/>
  <c r="K23" i="7"/>
  <c r="G5" i="7"/>
  <c r="N291" i="7"/>
  <c r="J273" i="7"/>
  <c r="F255" i="7"/>
  <c r="B237" i="7"/>
  <c r="L218" i="7"/>
  <c r="H200" i="7"/>
  <c r="D182" i="7"/>
  <c r="K305" i="7"/>
  <c r="G287" i="7"/>
  <c r="C269" i="7"/>
  <c r="M250" i="7"/>
  <c r="I232" i="7"/>
  <c r="E214" i="7"/>
  <c r="O195" i="7"/>
  <c r="K177" i="7"/>
  <c r="G159" i="7"/>
  <c r="C141" i="7"/>
  <c r="M122" i="7"/>
  <c r="I104" i="7"/>
  <c r="E86" i="7"/>
  <c r="O67" i="7"/>
  <c r="K49" i="7"/>
  <c r="G31" i="7"/>
  <c r="C13" i="7"/>
  <c r="J299" i="7"/>
  <c r="F281" i="7"/>
  <c r="B263" i="7"/>
  <c r="L244" i="7"/>
  <c r="H226" i="7"/>
  <c r="D208" i="7"/>
  <c r="N189" i="7"/>
  <c r="J171" i="7"/>
  <c r="K291" i="7"/>
  <c r="G273" i="7"/>
  <c r="C255" i="7"/>
  <c r="M236" i="7"/>
  <c r="G265" i="7"/>
  <c r="M228" i="7"/>
  <c r="I210" i="7"/>
  <c r="E192" i="7"/>
  <c r="O173" i="7"/>
  <c r="K155" i="7"/>
  <c r="G137" i="7"/>
  <c r="C119" i="7"/>
  <c r="M100" i="7"/>
  <c r="I82" i="7"/>
  <c r="E64" i="7"/>
  <c r="O45" i="7"/>
  <c r="K27" i="7"/>
  <c r="G9" i="7"/>
  <c r="N295" i="7"/>
  <c r="J277" i="7"/>
  <c r="F259" i="7"/>
  <c r="B241" i="7"/>
  <c r="L222" i="7"/>
  <c r="H204" i="7"/>
  <c r="D186" i="7"/>
  <c r="N167" i="7"/>
  <c r="F153" i="7"/>
  <c r="B135" i="7"/>
  <c r="L116" i="7"/>
  <c r="H98" i="7"/>
  <c r="D80" i="7"/>
  <c r="N61" i="7"/>
  <c r="J43" i="7"/>
  <c r="F25" i="7"/>
  <c r="B7" i="7"/>
  <c r="G292" i="7"/>
  <c r="M255" i="7"/>
  <c r="E219" i="7"/>
  <c r="K182" i="7"/>
  <c r="C146" i="7"/>
  <c r="I109" i="7"/>
  <c r="H156" i="7"/>
  <c r="D138" i="7"/>
  <c r="N119" i="7"/>
  <c r="J101" i="7"/>
  <c r="F83" i="7"/>
  <c r="B65" i="7"/>
  <c r="L46" i="7"/>
  <c r="H28" i="7"/>
  <c r="D10" i="7"/>
  <c r="K298" i="7"/>
  <c r="C262" i="7"/>
  <c r="I225" i="7"/>
  <c r="O188" i="7"/>
  <c r="G152" i="7"/>
  <c r="M115" i="7"/>
  <c r="J159" i="7"/>
  <c r="F141" i="7"/>
  <c r="B123" i="7"/>
  <c r="L104" i="7"/>
  <c r="H86" i="7"/>
  <c r="D68" i="7"/>
  <c r="N49" i="7"/>
  <c r="J31" i="7"/>
  <c r="F13" i="7"/>
  <c r="O304" i="7"/>
  <c r="G268" i="7"/>
  <c r="M231" i="7"/>
  <c r="E195" i="7"/>
  <c r="K158" i="7"/>
  <c r="C122" i="7"/>
  <c r="I85" i="7"/>
  <c r="O48" i="7"/>
  <c r="G12" i="7"/>
  <c r="D158" i="7"/>
  <c r="N139" i="7"/>
  <c r="J121" i="7"/>
  <c r="F103" i="7"/>
  <c r="B85" i="7"/>
  <c r="L66" i="7"/>
  <c r="H48" i="7"/>
  <c r="D30" i="7"/>
  <c r="N11" i="7"/>
  <c r="M252" i="7"/>
  <c r="C223" i="7"/>
  <c r="M204" i="7"/>
  <c r="I186" i="7"/>
  <c r="E168" i="7"/>
  <c r="O149" i="7"/>
  <c r="K131" i="7"/>
  <c r="G113" i="7"/>
  <c r="C95" i="7"/>
  <c r="M76" i="7"/>
  <c r="I58" i="7"/>
  <c r="E40" i="7"/>
  <c r="O21" i="7"/>
  <c r="K3" i="7"/>
  <c r="H308" i="7"/>
  <c r="D290" i="7"/>
  <c r="N271" i="7"/>
  <c r="J253" i="7"/>
  <c r="F235" i="7"/>
  <c r="B217" i="7"/>
  <c r="L198" i="7"/>
  <c r="H180" i="7"/>
  <c r="H168" i="7"/>
  <c r="J147" i="7"/>
  <c r="F129" i="7"/>
  <c r="B111" i="7"/>
  <c r="L92" i="7"/>
  <c r="H74" i="7"/>
  <c r="D56" i="7"/>
  <c r="N37" i="7"/>
  <c r="J19" i="7"/>
  <c r="O280" i="7"/>
  <c r="G244" i="7"/>
  <c r="M207" i="7"/>
  <c r="E171" i="7"/>
  <c r="K134" i="7"/>
  <c r="H174" i="7"/>
  <c r="L150" i="7"/>
  <c r="H132" i="7"/>
  <c r="D114" i="7"/>
  <c r="N95" i="7"/>
  <c r="J77" i="7"/>
  <c r="F59" i="7"/>
  <c r="B41" i="7"/>
  <c r="L22" i="7"/>
  <c r="H4" i="7"/>
  <c r="E287" i="7"/>
  <c r="K250" i="7"/>
  <c r="C214" i="7"/>
  <c r="I177" i="7"/>
  <c r="O140" i="7"/>
  <c r="G104" i="7"/>
  <c r="N153" i="7"/>
  <c r="J135" i="7"/>
  <c r="F117" i="7"/>
  <c r="B99" i="7"/>
  <c r="L80" i="7"/>
  <c r="H62" i="7"/>
  <c r="D44" i="7"/>
  <c r="N25" i="7"/>
  <c r="J7" i="7"/>
  <c r="I293" i="7"/>
  <c r="O256" i="7"/>
  <c r="G220" i="7"/>
  <c r="M183" i="7"/>
  <c r="E147" i="7"/>
  <c r="K110" i="7"/>
  <c r="C74" i="7"/>
  <c r="I37" i="7"/>
  <c r="H152" i="7"/>
  <c r="D134" i="7"/>
  <c r="N115" i="7"/>
  <c r="J97" i="7"/>
  <c r="F79" i="7"/>
  <c r="B61" i="7"/>
  <c r="L42" i="7"/>
  <c r="H24" i="7"/>
  <c r="D6" i="7"/>
  <c r="M292" i="7"/>
  <c r="I242" i="7"/>
  <c r="G217" i="7"/>
  <c r="C199" i="7"/>
  <c r="M180" i="7"/>
  <c r="I162" i="7"/>
  <c r="E144" i="7"/>
  <c r="O125" i="7"/>
  <c r="K107" i="7"/>
  <c r="G89" i="7"/>
  <c r="C71" i="7"/>
  <c r="M52" i="7"/>
  <c r="I34" i="7"/>
  <c r="E16" i="7"/>
  <c r="L302" i="7"/>
  <c r="H284" i="7"/>
  <c r="D266" i="7"/>
  <c r="N247" i="7"/>
  <c r="J229" i="7"/>
  <c r="F211" i="7"/>
  <c r="B193" i="7"/>
  <c r="L174" i="7"/>
  <c r="D160" i="7"/>
  <c r="N141" i="7"/>
  <c r="J123" i="7"/>
  <c r="F105" i="7"/>
  <c r="B87" i="7"/>
  <c r="L68" i="7"/>
  <c r="H50" i="7"/>
  <c r="D32" i="7"/>
  <c r="N13" i="7"/>
  <c r="J263" i="7"/>
  <c r="B227" i="7"/>
  <c r="H190" i="7"/>
  <c r="I278" i="7"/>
  <c r="O241" i="7"/>
  <c r="G205" i="7"/>
  <c r="M168" i="7"/>
  <c r="E132" i="7"/>
  <c r="K95" i="7"/>
  <c r="K63" i="7"/>
  <c r="G45" i="7"/>
  <c r="C27" i="7"/>
  <c r="M8" i="7"/>
  <c r="F295" i="7"/>
  <c r="B277" i="7"/>
  <c r="L258" i="7"/>
  <c r="H240" i="7"/>
  <c r="D222" i="7"/>
  <c r="N203" i="7"/>
  <c r="J185" i="7"/>
  <c r="M290" i="7"/>
  <c r="I272" i="7"/>
  <c r="E254" i="7"/>
  <c r="O235" i="7"/>
  <c r="K217" i="7"/>
  <c r="G199" i="7"/>
  <c r="C181" i="7"/>
  <c r="M162" i="7"/>
  <c r="I144" i="7"/>
  <c r="E126" i="7"/>
  <c r="O107" i="7"/>
  <c r="K89" i="7"/>
  <c r="G71" i="7"/>
  <c r="C53" i="7"/>
  <c r="M34" i="7"/>
  <c r="I16" i="7"/>
  <c r="B303" i="7"/>
  <c r="L284" i="7"/>
  <c r="H266" i="7"/>
  <c r="D248" i="7"/>
  <c r="N229" i="7"/>
  <c r="J211" i="7"/>
  <c r="F193" i="7"/>
  <c r="B175" i="7"/>
  <c r="C295" i="7"/>
  <c r="M276" i="7"/>
  <c r="I258" i="7"/>
  <c r="E240" i="7"/>
  <c r="G291" i="7"/>
  <c r="C273" i="7"/>
  <c r="M254" i="7"/>
  <c r="I236" i="7"/>
  <c r="E218" i="7"/>
  <c r="O199" i="7"/>
  <c r="K181" i="7"/>
  <c r="G163" i="7"/>
  <c r="C145" i="7"/>
  <c r="M126" i="7"/>
  <c r="I108" i="7"/>
  <c r="E90" i="7"/>
  <c r="O71" i="7"/>
  <c r="K53" i="7"/>
  <c r="G35" i="7"/>
  <c r="C17" i="7"/>
  <c r="J303" i="7"/>
  <c r="F285" i="7"/>
  <c r="B267" i="7"/>
  <c r="L248" i="7"/>
  <c r="H230" i="7"/>
  <c r="D212" i="7"/>
  <c r="N193" i="7"/>
  <c r="J175" i="7"/>
  <c r="E300" i="7"/>
  <c r="O281" i="7"/>
  <c r="K263" i="7"/>
  <c r="G245" i="7"/>
  <c r="C227" i="7"/>
  <c r="M208" i="7"/>
  <c r="I190" i="7"/>
  <c r="E172" i="7"/>
  <c r="O153" i="7"/>
  <c r="K135" i="7"/>
  <c r="G117" i="7"/>
  <c r="C99" i="7"/>
  <c r="M80" i="7"/>
  <c r="I62" i="7"/>
  <c r="E44" i="7"/>
  <c r="O25" i="7"/>
  <c r="K7" i="7"/>
  <c r="D294" i="7"/>
  <c r="N275" i="7"/>
  <c r="J257" i="7"/>
  <c r="F239" i="7"/>
  <c r="B221" i="7"/>
  <c r="L202" i="7"/>
  <c r="H184" i="7"/>
  <c r="O307" i="7"/>
  <c r="K289" i="7"/>
  <c r="G271" i="7"/>
  <c r="C253" i="7"/>
  <c r="M234" i="7"/>
  <c r="I216" i="7"/>
  <c r="E198" i="7"/>
  <c r="O179" i="7"/>
  <c r="K161" i="7"/>
  <c r="G143" i="7"/>
  <c r="C125" i="7"/>
  <c r="M106" i="7"/>
  <c r="I88" i="7"/>
  <c r="E70" i="7"/>
  <c r="O51" i="7"/>
  <c r="K33" i="7"/>
  <c r="G15" i="7"/>
  <c r="N301" i="7"/>
  <c r="J283" i="7"/>
  <c r="F265" i="7"/>
  <c r="B247" i="7"/>
  <c r="L228" i="7"/>
  <c r="H210" i="7"/>
  <c r="D192" i="7"/>
  <c r="N173" i="7"/>
  <c r="O293" i="7"/>
  <c r="K275" i="7"/>
  <c r="I308" i="7"/>
  <c r="E290" i="7"/>
  <c r="O271" i="7"/>
  <c r="K253" i="7"/>
  <c r="G235" i="7"/>
  <c r="C217" i="7"/>
  <c r="M198" i="7"/>
  <c r="I180" i="7"/>
  <c r="E162" i="7"/>
  <c r="O143" i="7"/>
  <c r="K125" i="7"/>
  <c r="G107" i="7"/>
  <c r="C89" i="7"/>
  <c r="M70" i="7"/>
  <c r="I52" i="7"/>
  <c r="E34" i="7"/>
  <c r="O15" i="7"/>
  <c r="H302" i="7"/>
  <c r="D284" i="7"/>
  <c r="N265" i="7"/>
  <c r="J247" i="7"/>
  <c r="F229" i="7"/>
  <c r="B211" i="7"/>
  <c r="L192" i="7"/>
  <c r="C299" i="7"/>
  <c r="M280" i="7"/>
  <c r="I262" i="7"/>
  <c r="E244" i="7"/>
  <c r="O225" i="7"/>
  <c r="K207" i="7"/>
  <c r="G189" i="7"/>
  <c r="C171" i="7"/>
  <c r="M152" i="7"/>
  <c r="I134" i="7"/>
  <c r="E116" i="7"/>
  <c r="O97" i="7"/>
  <c r="K79" i="7"/>
  <c r="G61" i="7"/>
  <c r="C43" i="7"/>
  <c r="M24" i="7"/>
  <c r="I6" i="7"/>
  <c r="B293" i="7"/>
  <c r="L274" i="7"/>
  <c r="H256" i="7"/>
  <c r="D238" i="7"/>
  <c r="N219" i="7"/>
  <c r="J201" i="7"/>
  <c r="F183" i="7"/>
  <c r="M306" i="7"/>
  <c r="I288" i="7"/>
  <c r="E270" i="7"/>
  <c r="O251" i="7"/>
  <c r="K233" i="7"/>
  <c r="G215" i="7"/>
  <c r="C197" i="7"/>
  <c r="M178" i="7"/>
  <c r="I160" i="7"/>
  <c r="E142" i="7"/>
  <c r="O123" i="7"/>
  <c r="K105" i="7"/>
  <c r="G87" i="7"/>
  <c r="C69" i="7"/>
  <c r="M50" i="7"/>
  <c r="I32" i="7"/>
  <c r="E14" i="7"/>
  <c r="L300" i="7"/>
  <c r="H282" i="7"/>
  <c r="D264" i="7"/>
  <c r="N245" i="7"/>
  <c r="J227" i="7"/>
  <c r="F209" i="7"/>
  <c r="B191" i="7"/>
  <c r="L172" i="7"/>
  <c r="M302" i="7"/>
  <c r="I284" i="7"/>
  <c r="E266" i="7"/>
  <c r="O247" i="7"/>
  <c r="K229" i="7"/>
  <c r="G211" i="7"/>
  <c r="C193" i="7"/>
  <c r="M174" i="7"/>
  <c r="I156" i="7"/>
  <c r="E138" i="7"/>
  <c r="O119" i="7"/>
  <c r="K101" i="7"/>
  <c r="G83" i="7"/>
  <c r="C65" i="7"/>
  <c r="M46" i="7"/>
  <c r="I28" i="7"/>
  <c r="E10" i="7"/>
  <c r="L296" i="7"/>
  <c r="H278" i="7"/>
  <c r="D260" i="7"/>
  <c r="N241" i="7"/>
  <c r="J223" i="7"/>
  <c r="F205" i="7"/>
  <c r="B187" i="7"/>
  <c r="G293" i="7"/>
  <c r="C275" i="7"/>
  <c r="M256" i="7"/>
  <c r="I238" i="7"/>
  <c r="E220" i="7"/>
  <c r="O201" i="7"/>
  <c r="K183" i="7"/>
  <c r="G165" i="7"/>
  <c r="C147" i="7"/>
  <c r="M128" i="7"/>
  <c r="I110" i="7"/>
  <c r="E92" i="7"/>
  <c r="O73" i="7"/>
  <c r="K55" i="7"/>
  <c r="G37" i="7"/>
  <c r="C19" i="7"/>
  <c r="J305" i="7"/>
  <c r="F287" i="7"/>
  <c r="B269" i="7"/>
  <c r="L250" i="7"/>
  <c r="H232" i="7"/>
  <c r="D214" i="7"/>
  <c r="N195" i="7"/>
  <c r="J177" i="7"/>
  <c r="C301" i="7"/>
  <c r="M282" i="7"/>
  <c r="I264" i="7"/>
  <c r="E246" i="7"/>
  <c r="O227" i="7"/>
  <c r="K209" i="7"/>
  <c r="G191" i="7"/>
  <c r="C173" i="7"/>
  <c r="M154" i="7"/>
  <c r="I136" i="7"/>
  <c r="E118" i="7"/>
  <c r="O99" i="7"/>
  <c r="K81" i="7"/>
  <c r="G63" i="7"/>
  <c r="C45" i="7"/>
  <c r="M26" i="7"/>
  <c r="I8" i="7"/>
  <c r="B295" i="7"/>
  <c r="L276" i="7"/>
  <c r="H258" i="7"/>
  <c r="D240" i="7"/>
  <c r="N221" i="7"/>
  <c r="J203" i="7"/>
  <c r="F185" i="7"/>
  <c r="B167" i="7"/>
  <c r="G305" i="7"/>
  <c r="C287" i="7"/>
  <c r="M268" i="7"/>
  <c r="I250" i="7"/>
  <c r="E232" i="7"/>
  <c r="E256" i="7"/>
  <c r="E224" i="7"/>
  <c r="O205" i="7"/>
  <c r="K187" i="7"/>
  <c r="G169" i="7"/>
  <c r="C151" i="7"/>
  <c r="M132" i="7"/>
  <c r="I114" i="7"/>
  <c r="E96" i="7"/>
  <c r="O77" i="7"/>
  <c r="K59" i="7"/>
  <c r="G41" i="7"/>
  <c r="C23" i="7"/>
  <c r="M4" i="7"/>
  <c r="F291" i="7"/>
  <c r="B273" i="7"/>
  <c r="L254" i="7"/>
  <c r="H236" i="7"/>
  <c r="D218" i="7"/>
  <c r="N199" i="7"/>
  <c r="J181" i="7"/>
  <c r="L170" i="7"/>
  <c r="L148" i="7"/>
  <c r="H130" i="7"/>
  <c r="D112" i="7"/>
  <c r="N93" i="7"/>
  <c r="J75" i="7"/>
  <c r="F57" i="7"/>
  <c r="B39" i="7"/>
  <c r="L20" i="7"/>
  <c r="H2" i="7"/>
  <c r="E283" i="7"/>
  <c r="K246" i="7"/>
  <c r="C210" i="7"/>
  <c r="I173" i="7"/>
  <c r="O136" i="7"/>
  <c r="G100" i="7"/>
  <c r="N151" i="7"/>
  <c r="J133" i="7"/>
  <c r="F115" i="7"/>
  <c r="B97" i="7"/>
  <c r="L78" i="7"/>
  <c r="H60" i="7"/>
  <c r="D42" i="7"/>
  <c r="N23" i="7"/>
  <c r="J5" i="7"/>
  <c r="I289" i="7"/>
  <c r="O252" i="7"/>
  <c r="G216" i="7"/>
  <c r="M179" i="7"/>
  <c r="E143" i="7"/>
  <c r="K106" i="7"/>
  <c r="B155" i="7"/>
  <c r="L136" i="7"/>
  <c r="H118" i="7"/>
  <c r="D100" i="7"/>
  <c r="N81" i="7"/>
  <c r="J63" i="7"/>
  <c r="F45" i="7"/>
  <c r="B27" i="7"/>
  <c r="L8" i="7"/>
  <c r="M295" i="7"/>
  <c r="E259" i="7"/>
  <c r="K222" i="7"/>
  <c r="C186" i="7"/>
  <c r="I149" i="7"/>
  <c r="O112" i="7"/>
  <c r="G76" i="7"/>
  <c r="M39" i="7"/>
  <c r="E3" i="7"/>
  <c r="J153" i="7"/>
  <c r="F135" i="7"/>
  <c r="B117" i="7"/>
  <c r="L98" i="7"/>
  <c r="H80" i="7"/>
  <c r="D62" i="7"/>
  <c r="N43" i="7"/>
  <c r="J25" i="7"/>
  <c r="F7" i="7"/>
  <c r="G297" i="7"/>
  <c r="K243" i="7"/>
  <c r="I218" i="7"/>
  <c r="E200" i="7"/>
  <c r="O181" i="7"/>
  <c r="K163" i="7"/>
  <c r="G145" i="7"/>
  <c r="C127" i="7"/>
  <c r="M108" i="7"/>
  <c r="I90" i="7"/>
  <c r="E72" i="7"/>
  <c r="O53" i="7"/>
  <c r="K35" i="7"/>
  <c r="G17" i="7"/>
  <c r="N303" i="7"/>
  <c r="J285" i="7"/>
  <c r="F267" i="7"/>
  <c r="B249" i="7"/>
  <c r="L230" i="7"/>
  <c r="H212" i="7"/>
  <c r="D194" i="7"/>
  <c r="N175" i="7"/>
  <c r="J161" i="7"/>
  <c r="B143" i="7"/>
  <c r="L124" i="7"/>
  <c r="H106" i="7"/>
  <c r="D88" i="7"/>
  <c r="N69" i="7"/>
  <c r="J51" i="7"/>
  <c r="F33" i="7"/>
  <c r="B15" i="7"/>
  <c r="G308" i="7"/>
  <c r="M271" i="7"/>
  <c r="E235" i="7"/>
  <c r="K198" i="7"/>
  <c r="C162" i="7"/>
  <c r="I125" i="7"/>
  <c r="J165" i="7"/>
  <c r="D146" i="7"/>
  <c r="N127" i="7"/>
  <c r="J109" i="7"/>
  <c r="F91" i="7"/>
  <c r="B73" i="7"/>
  <c r="L54" i="7"/>
  <c r="H36" i="7"/>
  <c r="D18" i="7"/>
  <c r="C278" i="7"/>
  <c r="I241" i="7"/>
  <c r="O204" i="7"/>
  <c r="G168" i="7"/>
  <c r="M131" i="7"/>
  <c r="N171" i="7"/>
  <c r="F149" i="7"/>
  <c r="B131" i="7"/>
  <c r="L112" i="7"/>
  <c r="H94" i="7"/>
  <c r="D76" i="7"/>
  <c r="N57" i="7"/>
  <c r="J39" i="7"/>
  <c r="F21" i="7"/>
  <c r="B3" i="7"/>
  <c r="G284" i="7"/>
  <c r="M247" i="7"/>
  <c r="E211" i="7"/>
  <c r="K174" i="7"/>
  <c r="C138" i="7"/>
  <c r="I101" i="7"/>
  <c r="O64" i="7"/>
  <c r="G28" i="7"/>
  <c r="L168" i="7"/>
  <c r="N147" i="7"/>
  <c r="J129" i="7"/>
  <c r="F111" i="7"/>
  <c r="B93" i="7"/>
  <c r="L74" i="7"/>
  <c r="H56" i="7"/>
  <c r="D38" i="7"/>
  <c r="N19" i="7"/>
  <c r="I274" i="7"/>
  <c r="G233" i="7"/>
  <c r="M212" i="7"/>
  <c r="I194" i="7"/>
  <c r="E176" i="7"/>
  <c r="O157" i="7"/>
  <c r="K139" i="7"/>
  <c r="G121" i="7"/>
  <c r="C103" i="7"/>
  <c r="M84" i="7"/>
  <c r="I66" i="7"/>
  <c r="E48" i="7"/>
  <c r="O29" i="7"/>
  <c r="K11" i="7"/>
  <c r="D298" i="7"/>
  <c r="N279" i="7"/>
  <c r="J261" i="7"/>
  <c r="F243" i="7"/>
  <c r="B225" i="7"/>
  <c r="L206" i="7"/>
  <c r="H188" i="7"/>
  <c r="D170" i="7"/>
  <c r="J155" i="7"/>
  <c r="F137" i="7"/>
  <c r="B119" i="7"/>
  <c r="L100" i="7"/>
  <c r="H82" i="7"/>
  <c r="D64" i="7"/>
  <c r="N45" i="7"/>
  <c r="J27" i="7"/>
  <c r="F9" i="7"/>
  <c r="O189" i="7"/>
  <c r="G153" i="7"/>
  <c r="M116" i="7"/>
  <c r="E80" i="7"/>
  <c r="K43" i="7"/>
  <c r="C7" i="7"/>
  <c r="F275" i="7"/>
  <c r="L238" i="7"/>
  <c r="D202" i="7"/>
  <c r="F175" i="7"/>
  <c r="L132" i="7"/>
  <c r="D96" i="7"/>
  <c r="J59" i="7"/>
  <c r="B23" i="7"/>
  <c r="M287" i="7"/>
  <c r="E251" i="7"/>
  <c r="K214" i="7"/>
  <c r="C178" i="7"/>
  <c r="I141" i="7"/>
  <c r="O104" i="7"/>
  <c r="D154" i="7"/>
  <c r="N135" i="7"/>
  <c r="J117" i="7"/>
  <c r="F99" i="7"/>
  <c r="B81" i="7"/>
  <c r="L62" i="7"/>
  <c r="H44" i="7"/>
  <c r="D26" i="7"/>
  <c r="N7" i="7"/>
  <c r="C294" i="7"/>
  <c r="I257" i="7"/>
  <c r="O220" i="7"/>
  <c r="G184" i="7"/>
  <c r="M147" i="7"/>
  <c r="E111" i="7"/>
  <c r="F157" i="7"/>
  <c r="B139" i="7"/>
  <c r="L120" i="7"/>
  <c r="H102" i="7"/>
  <c r="D84" i="7"/>
  <c r="N65" i="7"/>
  <c r="J47" i="7"/>
  <c r="F29" i="7"/>
  <c r="B11" i="7"/>
  <c r="G300" i="7"/>
  <c r="M263" i="7"/>
  <c r="E227" i="7"/>
  <c r="K190" i="7"/>
  <c r="C154" i="7"/>
  <c r="I117" i="7"/>
  <c r="O80" i="7"/>
  <c r="G44" i="7"/>
  <c r="M7" i="7"/>
  <c r="N155" i="7"/>
  <c r="J137" i="7"/>
  <c r="F119" i="7"/>
  <c r="B101" i="7"/>
  <c r="L82" i="7"/>
  <c r="H64" i="7"/>
  <c r="D46" i="7"/>
  <c r="N27" i="7"/>
  <c r="J9" i="7"/>
  <c r="E248" i="7"/>
  <c r="M220" i="7"/>
  <c r="I202" i="7"/>
  <c r="E184" i="7"/>
  <c r="O165" i="7"/>
  <c r="K147" i="7"/>
  <c r="G129" i="7"/>
  <c r="C111" i="7"/>
  <c r="M92" i="7"/>
  <c r="I74" i="7"/>
  <c r="E56" i="7"/>
  <c r="O37" i="7"/>
  <c r="K19" i="7"/>
  <c r="D306" i="7"/>
  <c r="N287" i="7"/>
  <c r="J269" i="7"/>
  <c r="F251" i="7"/>
  <c r="B233" i="7"/>
  <c r="L214" i="7"/>
  <c r="H196" i="7"/>
  <c r="D178" i="7"/>
  <c r="H164" i="7"/>
  <c r="F145" i="7"/>
  <c r="B127" i="7"/>
  <c r="L108" i="7"/>
  <c r="H90" i="7"/>
  <c r="D72" i="7"/>
  <c r="N53" i="7"/>
  <c r="J35" i="7"/>
  <c r="F17" i="7"/>
  <c r="G276" i="7"/>
  <c r="M239" i="7"/>
  <c r="E203" i="7"/>
  <c r="K166" i="7"/>
  <c r="C130" i="7"/>
  <c r="N169" i="7"/>
  <c r="H148" i="7"/>
  <c r="D130" i="7"/>
  <c r="N111" i="7"/>
  <c r="J93" i="7"/>
  <c r="F75" i="7"/>
  <c r="B57" i="7"/>
  <c r="L38" i="7"/>
  <c r="H20" i="7"/>
  <c r="D2" i="7"/>
  <c r="K282" i="7"/>
  <c r="C246" i="7"/>
  <c r="I209" i="7"/>
  <c r="O172" i="7"/>
  <c r="G136" i="7"/>
  <c r="M99" i="7"/>
  <c r="J151" i="7"/>
  <c r="F133" i="7"/>
  <c r="B115" i="7"/>
  <c r="L96" i="7"/>
  <c r="H78" i="7"/>
  <c r="D60" i="7"/>
  <c r="N41" i="7"/>
  <c r="J23" i="7"/>
  <c r="F5" i="7"/>
  <c r="O288" i="7"/>
  <c r="G252" i="7"/>
  <c r="M215" i="7"/>
  <c r="E179" i="7"/>
  <c r="K142" i="7"/>
  <c r="C106" i="7"/>
  <c r="I69" i="7"/>
  <c r="O32" i="7"/>
  <c r="F173" i="7"/>
  <c r="D150" i="7"/>
  <c r="N131" i="7"/>
  <c r="J113" i="7"/>
  <c r="F95" i="7"/>
  <c r="B77" i="7"/>
  <c r="L58" i="7"/>
  <c r="H40" i="7"/>
  <c r="D22" i="7"/>
  <c r="N3" i="7"/>
  <c r="K274" i="7"/>
  <c r="C238" i="7"/>
  <c r="I201" i="7"/>
  <c r="O164" i="7"/>
  <c r="G128" i="7"/>
  <c r="M91" i="7"/>
  <c r="E55" i="7"/>
  <c r="K18" i="7"/>
  <c r="I61" i="7"/>
  <c r="J280" i="7"/>
  <c r="B244" i="7"/>
  <c r="H207" i="7"/>
  <c r="N170" i="7"/>
  <c r="F134" i="7"/>
  <c r="L97" i="7"/>
  <c r="D61" i="7"/>
  <c r="J24" i="7"/>
  <c r="K280" i="7"/>
  <c r="C244" i="7"/>
  <c r="I207" i="7"/>
  <c r="O170" i="7"/>
  <c r="G134" i="7"/>
  <c r="M97" i="7"/>
  <c r="E61" i="7"/>
  <c r="K24" i="7"/>
  <c r="N292" i="7"/>
  <c r="F256" i="7"/>
  <c r="L219" i="7"/>
  <c r="D183" i="7"/>
  <c r="J146" i="7"/>
  <c r="J82" i="7"/>
  <c r="M51" i="7"/>
  <c r="H275" i="7"/>
  <c r="N238" i="7"/>
  <c r="F202" i="7"/>
  <c r="L165" i="7"/>
  <c r="D129" i="7"/>
  <c r="J92" i="7"/>
  <c r="B56" i="7"/>
  <c r="H19" i="7"/>
  <c r="I275" i="7"/>
  <c r="O238" i="7"/>
  <c r="G202" i="7"/>
  <c r="M165" i="7"/>
  <c r="E129" i="7"/>
  <c r="K92" i="7"/>
  <c r="C56" i="7"/>
  <c r="I19" i="7"/>
  <c r="L287" i="7"/>
  <c r="D251" i="7"/>
  <c r="J214" i="7"/>
  <c r="B178" i="7"/>
  <c r="H141" i="7"/>
  <c r="N104" i="7"/>
  <c r="F68" i="7"/>
  <c r="I77" i="7"/>
  <c r="G4" i="7"/>
  <c r="J288" i="7"/>
  <c r="B252" i="7"/>
  <c r="H215" i="7"/>
  <c r="N178" i="7"/>
  <c r="F142" i="7"/>
  <c r="L105" i="7"/>
  <c r="D69" i="7"/>
  <c r="J32" i="7"/>
  <c r="K288" i="7"/>
  <c r="C252" i="7"/>
  <c r="I215" i="7"/>
  <c r="O178" i="7"/>
  <c r="G142" i="7"/>
  <c r="M105" i="7"/>
  <c r="E69" i="7"/>
  <c r="K32" i="7"/>
  <c r="N300" i="7"/>
  <c r="F264" i="7"/>
  <c r="L227" i="7"/>
  <c r="D191" i="7"/>
  <c r="J154" i="7"/>
  <c r="B118" i="7"/>
  <c r="H81" i="7"/>
  <c r="N44" i="7"/>
  <c r="F8" i="7"/>
  <c r="N36" i="7"/>
  <c r="F4" i="7"/>
  <c r="K26" i="7"/>
  <c r="H299" i="7"/>
  <c r="N262" i="7"/>
  <c r="F226" i="7"/>
  <c r="L189" i="7"/>
  <c r="D153" i="7"/>
  <c r="J116" i="7"/>
  <c r="B80" i="7"/>
  <c r="H43" i="7"/>
  <c r="N6" i="7"/>
  <c r="I299" i="7"/>
  <c r="O262" i="7"/>
  <c r="G226" i="7"/>
  <c r="M189" i="7"/>
  <c r="E153" i="7"/>
  <c r="K116" i="7"/>
  <c r="C80" i="7"/>
  <c r="I43" i="7"/>
  <c r="O6" i="7"/>
  <c r="D275" i="7"/>
  <c r="J238" i="7"/>
  <c r="L183" i="7"/>
  <c r="J46" i="7"/>
  <c r="N16" i="7"/>
  <c r="M299" i="7"/>
  <c r="E263" i="7"/>
  <c r="K226" i="7"/>
  <c r="C190" i="7"/>
  <c r="I153" i="7"/>
  <c r="O116" i="7"/>
  <c r="G80" i="7"/>
  <c r="M43" i="7"/>
  <c r="E7" i="7"/>
  <c r="K38" i="7"/>
  <c r="L305" i="7"/>
  <c r="D269" i="7"/>
  <c r="J232" i="7"/>
  <c r="B196" i="7"/>
  <c r="H159" i="7"/>
  <c r="N122" i="7"/>
  <c r="F86" i="7"/>
  <c r="L49" i="7"/>
  <c r="D13" i="7"/>
  <c r="M305" i="7"/>
  <c r="E269" i="7"/>
  <c r="K232" i="7"/>
  <c r="C196" i="7"/>
  <c r="I159" i="7"/>
  <c r="O122" i="7"/>
  <c r="G86" i="7"/>
  <c r="M49" i="7"/>
  <c r="E13" i="7"/>
  <c r="H281" i="7"/>
  <c r="N244" i="7"/>
  <c r="F208" i="7"/>
  <c r="L171" i="7"/>
  <c r="D135" i="7"/>
  <c r="B30" i="7"/>
  <c r="O28" i="7"/>
  <c r="J300" i="7"/>
  <c r="B264" i="7"/>
  <c r="H227" i="7"/>
  <c r="N190" i="7"/>
  <c r="F154" i="7"/>
  <c r="L117" i="7"/>
  <c r="D81" i="7"/>
  <c r="J44" i="7"/>
  <c r="B8" i="7"/>
  <c r="K300" i="7"/>
  <c r="C264" i="7"/>
  <c r="I227" i="7"/>
  <c r="O190" i="7"/>
  <c r="G154" i="7"/>
  <c r="M117" i="7"/>
  <c r="E81" i="7"/>
  <c r="K44" i="7"/>
  <c r="C8" i="7"/>
  <c r="F276" i="7"/>
  <c r="L239" i="7"/>
  <c r="D203" i="7"/>
  <c r="J166" i="7"/>
  <c r="B130" i="7"/>
  <c r="H93" i="7"/>
  <c r="L47" i="7"/>
  <c r="K54" i="7"/>
  <c r="D277" i="7"/>
  <c r="J240" i="7"/>
  <c r="B204" i="7"/>
  <c r="H167" i="7"/>
  <c r="N130" i="7"/>
  <c r="F94" i="7"/>
  <c r="L57" i="7"/>
  <c r="D21" i="7"/>
  <c r="E277" i="7"/>
  <c r="K240" i="7"/>
  <c r="C204" i="7"/>
  <c r="I167" i="7"/>
  <c r="O130" i="7"/>
  <c r="G94" i="7"/>
  <c r="M57" i="7"/>
  <c r="E21" i="7"/>
  <c r="H289" i="7"/>
  <c r="N252" i="7"/>
  <c r="F216" i="7"/>
  <c r="L179" i="7"/>
  <c r="D143" i="7"/>
  <c r="J106" i="7"/>
  <c r="B70" i="7"/>
  <c r="H33" i="7"/>
  <c r="H105" i="7"/>
  <c r="L11" i="7"/>
  <c r="O76" i="7"/>
  <c r="M3" i="7"/>
  <c r="B288" i="7"/>
  <c r="H251" i="7"/>
  <c r="N214" i="7"/>
  <c r="F178" i="7"/>
  <c r="L141" i="7"/>
  <c r="D105" i="7"/>
  <c r="J68" i="7"/>
  <c r="B32" i="7"/>
  <c r="C288" i="7"/>
  <c r="I251" i="7"/>
  <c r="O214" i="7"/>
  <c r="G178" i="7"/>
  <c r="M141" i="7"/>
  <c r="E105" i="7"/>
  <c r="K68" i="7"/>
  <c r="C32" i="7"/>
  <c r="F300" i="7"/>
  <c r="L263" i="7"/>
  <c r="D227" i="7"/>
  <c r="J190" i="7"/>
  <c r="B154" i="7"/>
  <c r="H117" i="7"/>
  <c r="H53" i="7"/>
  <c r="K306" i="7"/>
  <c r="C270" i="7"/>
  <c r="I233" i="7"/>
  <c r="O196" i="7"/>
  <c r="G160" i="7"/>
  <c r="M123" i="7"/>
  <c r="E87" i="7"/>
  <c r="K50" i="7"/>
  <c r="C14" i="7"/>
  <c r="G52" i="7"/>
  <c r="B276" i="7"/>
  <c r="H239" i="7"/>
  <c r="N202" i="7"/>
  <c r="F166" i="7"/>
  <c r="L129" i="7"/>
  <c r="D93" i="7"/>
  <c r="J56" i="7"/>
  <c r="B20" i="7"/>
  <c r="C276" i="7"/>
  <c r="I239" i="7"/>
  <c r="O202" i="7"/>
  <c r="G166" i="7"/>
  <c r="M129" i="7"/>
  <c r="E93" i="7"/>
  <c r="K56" i="7"/>
  <c r="C20" i="7"/>
  <c r="F288" i="7"/>
  <c r="L251" i="7"/>
  <c r="D215" i="7"/>
  <c r="J178" i="7"/>
  <c r="B142" i="7"/>
  <c r="L59" i="7"/>
  <c r="K42" i="7"/>
  <c r="H307" i="7"/>
  <c r="N270" i="7"/>
  <c r="F234" i="7"/>
  <c r="L197" i="7"/>
  <c r="D161" i="7"/>
  <c r="J124" i="7"/>
  <c r="B88" i="7"/>
  <c r="H51" i="7"/>
  <c r="N14" i="7"/>
  <c r="I307" i="7"/>
  <c r="O270" i="7"/>
  <c r="G234" i="7"/>
  <c r="M197" i="7"/>
  <c r="E161" i="7"/>
  <c r="K124" i="7"/>
  <c r="C88" i="7"/>
  <c r="I51" i="7"/>
  <c r="O14" i="7"/>
  <c r="D283" i="7"/>
  <c r="J246" i="7"/>
  <c r="B210" i="7"/>
  <c r="H173" i="7"/>
  <c r="N136" i="7"/>
  <c r="F100" i="7"/>
  <c r="L63" i="7"/>
  <c r="G68" i="7"/>
  <c r="B284" i="7"/>
  <c r="H247" i="7"/>
  <c r="N210" i="7"/>
  <c r="F174" i="7"/>
  <c r="L137" i="7"/>
  <c r="D101" i="7"/>
  <c r="J64" i="7"/>
  <c r="B28" i="7"/>
  <c r="G185" i="7"/>
  <c r="M148" i="7"/>
  <c r="E112" i="7"/>
  <c r="K75" i="7"/>
  <c r="C39" i="7"/>
  <c r="I2" i="7"/>
  <c r="F307" i="7"/>
  <c r="L270" i="7"/>
  <c r="D234" i="7"/>
  <c r="J197" i="7"/>
  <c r="D166" i="7"/>
  <c r="D128" i="7"/>
  <c r="J91" i="7"/>
  <c r="B55" i="7"/>
  <c r="H18" i="7"/>
  <c r="K278" i="7"/>
  <c r="C242" i="7"/>
  <c r="I205" i="7"/>
  <c r="O168" i="7"/>
  <c r="G132" i="7"/>
  <c r="D172" i="7"/>
  <c r="J149" i="7"/>
  <c r="F131" i="7"/>
  <c r="B113" i="7"/>
  <c r="L94" i="7"/>
  <c r="H76" i="7"/>
  <c r="D58" i="7"/>
  <c r="N39" i="7"/>
  <c r="J21" i="7"/>
  <c r="F3" i="7"/>
  <c r="O284" i="7"/>
  <c r="G248" i="7"/>
  <c r="M211" i="7"/>
  <c r="E175" i="7"/>
  <c r="K138" i="7"/>
  <c r="C102" i="7"/>
  <c r="L152" i="7"/>
  <c r="H134" i="7"/>
  <c r="D116" i="7"/>
  <c r="N97" i="7"/>
  <c r="J79" i="7"/>
  <c r="F61" i="7"/>
  <c r="B43" i="7"/>
  <c r="L24" i="7"/>
  <c r="H6" i="7"/>
  <c r="E291" i="7"/>
  <c r="K254" i="7"/>
  <c r="C218" i="7"/>
  <c r="I181" i="7"/>
  <c r="O144" i="7"/>
  <c r="G108" i="7"/>
  <c r="M71" i="7"/>
  <c r="E35" i="7"/>
  <c r="F151" i="7"/>
  <c r="B133" i="7"/>
  <c r="L114" i="7"/>
  <c r="H96" i="7"/>
  <c r="D78" i="7"/>
  <c r="N59" i="7"/>
  <c r="J41" i="7"/>
  <c r="F23" i="7"/>
  <c r="B5" i="7"/>
  <c r="E288" i="7"/>
  <c r="C239" i="7"/>
  <c r="E216" i="7"/>
  <c r="O197" i="7"/>
  <c r="K179" i="7"/>
  <c r="G161" i="7"/>
  <c r="C143" i="7"/>
  <c r="M124" i="7"/>
  <c r="I106" i="7"/>
  <c r="E88" i="7"/>
  <c r="O69" i="7"/>
  <c r="K51" i="7"/>
  <c r="G33" i="7"/>
  <c r="C15" i="7"/>
  <c r="J301" i="7"/>
  <c r="F283" i="7"/>
  <c r="B265" i="7"/>
  <c r="L246" i="7"/>
  <c r="H228" i="7"/>
  <c r="D210" i="7"/>
  <c r="N191" i="7"/>
  <c r="J173" i="7"/>
  <c r="B159" i="7"/>
  <c r="L140" i="7"/>
  <c r="H122" i="7"/>
  <c r="D104" i="7"/>
  <c r="N85" i="7"/>
  <c r="J67" i="7"/>
  <c r="F49" i="7"/>
  <c r="B31" i="7"/>
  <c r="L12" i="7"/>
  <c r="M303" i="7"/>
  <c r="E267" i="7"/>
  <c r="K230" i="7"/>
  <c r="C194" i="7"/>
  <c r="I157" i="7"/>
  <c r="O120" i="7"/>
  <c r="L162" i="7"/>
  <c r="N143" i="7"/>
  <c r="J125" i="7"/>
  <c r="F107" i="7"/>
  <c r="B89" i="7"/>
  <c r="L70" i="7"/>
  <c r="H52" i="7"/>
  <c r="D34" i="7"/>
  <c r="N15" i="7"/>
  <c r="I273" i="7"/>
  <c r="O236" i="7"/>
  <c r="G200" i="7"/>
  <c r="M163" i="7"/>
  <c r="E127" i="7"/>
  <c r="F167" i="7"/>
  <c r="B147" i="7"/>
  <c r="L128" i="7"/>
  <c r="H110" i="7"/>
  <c r="D92" i="7"/>
  <c r="N73" i="7"/>
  <c r="J55" i="7"/>
  <c r="F37" i="7"/>
  <c r="B19" i="7"/>
  <c r="M279" i="7"/>
  <c r="E243" i="7"/>
  <c r="K206" i="7"/>
  <c r="C170" i="7"/>
  <c r="I133" i="7"/>
  <c r="O96" i="7"/>
  <c r="G60" i="7"/>
  <c r="M23" i="7"/>
  <c r="B165" i="7"/>
  <c r="J145" i="7"/>
  <c r="F127" i="7"/>
  <c r="B109" i="7"/>
  <c r="L90" i="7"/>
  <c r="H72" i="7"/>
  <c r="D54" i="7"/>
  <c r="N35" i="7"/>
  <c r="J17" i="7"/>
  <c r="C302" i="7"/>
  <c r="I265" i="7"/>
  <c r="O228" i="7"/>
  <c r="G192" i="7"/>
  <c r="M155" i="7"/>
  <c r="E119" i="7"/>
  <c r="K82" i="7"/>
  <c r="C46" i="7"/>
  <c r="I9" i="7"/>
  <c r="E43" i="7"/>
  <c r="B308" i="7"/>
  <c r="H271" i="7"/>
  <c r="N234" i="7"/>
  <c r="F198" i="7"/>
  <c r="L161" i="7"/>
  <c r="D125" i="7"/>
  <c r="J88" i="7"/>
  <c r="B52" i="7"/>
  <c r="H15" i="7"/>
  <c r="C308" i="7"/>
  <c r="I271" i="7"/>
  <c r="O234" i="7"/>
  <c r="G198" i="7"/>
  <c r="M161" i="7"/>
  <c r="E125" i="7"/>
  <c r="K88" i="7"/>
  <c r="C52" i="7"/>
  <c r="I15" i="7"/>
  <c r="L283" i="7"/>
  <c r="D247" i="7"/>
  <c r="J210" i="7"/>
  <c r="B174" i="7"/>
  <c r="H137" i="7"/>
  <c r="D39" i="7"/>
  <c r="I33" i="7"/>
  <c r="N302" i="7"/>
  <c r="F266" i="7"/>
  <c r="L229" i="7"/>
  <c r="D193" i="7"/>
  <c r="J156" i="7"/>
  <c r="B120" i="7"/>
  <c r="H83" i="7"/>
  <c r="N46" i="7"/>
  <c r="F10" i="7"/>
  <c r="O302" i="7"/>
  <c r="G266" i="7"/>
  <c r="M229" i="7"/>
  <c r="E193" i="7"/>
  <c r="K156" i="7"/>
  <c r="C120" i="7"/>
  <c r="I83" i="7"/>
  <c r="O46" i="7"/>
  <c r="G10" i="7"/>
  <c r="J278" i="7"/>
  <c r="B242" i="7"/>
  <c r="H205" i="7"/>
  <c r="N168" i="7"/>
  <c r="F132" i="7"/>
  <c r="L95" i="7"/>
  <c r="J54" i="7"/>
  <c r="E59" i="7"/>
  <c r="H279" i="7"/>
  <c r="N242" i="7"/>
  <c r="F206" i="7"/>
  <c r="L169" i="7"/>
  <c r="D133" i="7"/>
  <c r="J96" i="7"/>
  <c r="B60" i="7"/>
  <c r="H23" i="7"/>
  <c r="I279" i="7"/>
  <c r="O242" i="7"/>
  <c r="G206" i="7"/>
  <c r="M169" i="7"/>
  <c r="E133" i="7"/>
  <c r="K96" i="7"/>
  <c r="C60" i="7"/>
  <c r="I23" i="7"/>
  <c r="L291" i="7"/>
  <c r="D255" i="7"/>
  <c r="J218" i="7"/>
  <c r="B182" i="7"/>
  <c r="H145" i="7"/>
  <c r="N108" i="7"/>
  <c r="F72" i="7"/>
  <c r="L35" i="7"/>
  <c r="F112" i="7"/>
  <c r="F16" i="7"/>
  <c r="I81" i="7"/>
  <c r="G8" i="7"/>
  <c r="F290" i="7"/>
  <c r="L253" i="7"/>
  <c r="D217" i="7"/>
  <c r="J180" i="7"/>
  <c r="B144" i="7"/>
  <c r="H107" i="7"/>
  <c r="N70" i="7"/>
  <c r="F34" i="7"/>
  <c r="G290" i="7"/>
  <c r="M253" i="7"/>
  <c r="E217" i="7"/>
  <c r="K180" i="7"/>
  <c r="C144" i="7"/>
  <c r="I107" i="7"/>
  <c r="O70" i="7"/>
  <c r="G34" i="7"/>
  <c r="J302" i="7"/>
  <c r="B266" i="7"/>
  <c r="H229" i="7"/>
  <c r="F156" i="7"/>
  <c r="B10" i="7"/>
  <c r="H41" i="7"/>
  <c r="K290" i="7"/>
  <c r="C254" i="7"/>
  <c r="I217" i="7"/>
  <c r="O180" i="7"/>
  <c r="G144" i="7"/>
  <c r="M107" i="7"/>
  <c r="E71" i="7"/>
  <c r="K34" i="7"/>
  <c r="I93" i="7"/>
  <c r="G20" i="7"/>
  <c r="J296" i="7"/>
  <c r="B260" i="7"/>
  <c r="H223" i="7"/>
  <c r="N186" i="7"/>
  <c r="F150" i="7"/>
  <c r="L113" i="7"/>
  <c r="D77" i="7"/>
  <c r="J40" i="7"/>
  <c r="B4" i="7"/>
  <c r="K296" i="7"/>
  <c r="C260" i="7"/>
  <c r="I223" i="7"/>
  <c r="O186" i="7"/>
  <c r="G150" i="7"/>
  <c r="M113" i="7"/>
  <c r="E77" i="7"/>
  <c r="K40" i="7"/>
  <c r="C4" i="7"/>
  <c r="N308" i="7"/>
  <c r="F272" i="7"/>
  <c r="L235" i="7"/>
  <c r="D199" i="7"/>
  <c r="J162" i="7"/>
  <c r="B126" i="7"/>
  <c r="M83" i="7"/>
  <c r="K10" i="7"/>
  <c r="H291" i="7"/>
  <c r="N254" i="7"/>
  <c r="F218" i="7"/>
  <c r="L181" i="7"/>
  <c r="D145" i="7"/>
  <c r="J108" i="7"/>
  <c r="B72" i="7"/>
  <c r="H35" i="7"/>
  <c r="I291" i="7"/>
  <c r="O254" i="7"/>
  <c r="G218" i="7"/>
  <c r="M181" i="7"/>
  <c r="E145" i="7"/>
  <c r="K108" i="7"/>
  <c r="C72" i="7"/>
  <c r="I35" i="7"/>
  <c r="L303" i="7"/>
  <c r="D267" i="7"/>
  <c r="J230" i="7"/>
  <c r="B194" i="7"/>
  <c r="H157" i="7"/>
  <c r="N120" i="7"/>
  <c r="F84" i="7"/>
  <c r="F20" i="7"/>
  <c r="G36" i="7"/>
  <c r="J304" i="7"/>
  <c r="B268" i="7"/>
  <c r="H231" i="7"/>
  <c r="N194" i="7"/>
  <c r="F158" i="7"/>
  <c r="L121" i="7"/>
  <c r="D85" i="7"/>
  <c r="J48" i="7"/>
  <c r="B12" i="7"/>
  <c r="K304" i="7"/>
  <c r="C268" i="7"/>
  <c r="I231" i="7"/>
  <c r="O194" i="7"/>
  <c r="G158" i="7"/>
  <c r="M121" i="7"/>
  <c r="E85" i="7"/>
  <c r="K48" i="7"/>
  <c r="C12" i="7"/>
  <c r="F280" i="7"/>
  <c r="L243" i="7"/>
  <c r="D207" i="7"/>
  <c r="J170" i="7"/>
  <c r="B134" i="7"/>
  <c r="H97" i="7"/>
  <c r="N60" i="7"/>
  <c r="F24" i="7"/>
  <c r="B78" i="7"/>
  <c r="B50" i="7"/>
  <c r="K58" i="7"/>
  <c r="N278" i="7"/>
  <c r="F242" i="7"/>
  <c r="L205" i="7"/>
  <c r="D169" i="7"/>
  <c r="J132" i="7"/>
  <c r="B96" i="7"/>
  <c r="H59" i="7"/>
  <c r="N22" i="7"/>
  <c r="O278" i="7"/>
  <c r="G242" i="7"/>
  <c r="M205" i="7"/>
  <c r="E169" i="7"/>
  <c r="K132" i="7"/>
  <c r="C96" i="7"/>
  <c r="I59" i="7"/>
  <c r="O22" i="7"/>
  <c r="D291" i="7"/>
  <c r="J254" i="7"/>
  <c r="B218" i="7"/>
  <c r="H181" i="7"/>
  <c r="N144" i="7"/>
  <c r="F108" i="7"/>
  <c r="B26" i="7"/>
  <c r="I297" i="7"/>
  <c r="O260" i="7"/>
  <c r="G224" i="7"/>
  <c r="M187" i="7"/>
  <c r="E151" i="7"/>
  <c r="K114" i="7"/>
  <c r="C78" i="7"/>
  <c r="I41" i="7"/>
  <c r="O4" i="7"/>
  <c r="C34" i="7"/>
  <c r="H303" i="7"/>
  <c r="N266" i="7"/>
  <c r="F230" i="7"/>
  <c r="L193" i="7"/>
  <c r="D157" i="7"/>
  <c r="J120" i="7"/>
  <c r="B84" i="7"/>
  <c r="H47" i="7"/>
  <c r="N10" i="7"/>
  <c r="I303" i="7"/>
  <c r="O266" i="7"/>
  <c r="G230" i="7"/>
  <c r="M193" i="7"/>
  <c r="E157" i="7"/>
  <c r="K120" i="7"/>
  <c r="C84" i="7"/>
  <c r="I47" i="7"/>
  <c r="O10" i="7"/>
  <c r="D279" i="7"/>
  <c r="J242" i="7"/>
  <c r="B206" i="7"/>
  <c r="H169" i="7"/>
  <c r="N132" i="7"/>
  <c r="I97" i="7"/>
  <c r="G24" i="7"/>
  <c r="K171" i="7"/>
  <c r="C135" i="7"/>
  <c r="I98" i="7"/>
  <c r="O61" i="7"/>
  <c r="G25" i="7"/>
  <c r="J293" i="7"/>
  <c r="B257" i="7"/>
  <c r="H220" i="7"/>
  <c r="N183" i="7"/>
  <c r="B151" i="7"/>
  <c r="H114" i="7"/>
  <c r="N77" i="7"/>
  <c r="F41" i="7"/>
  <c r="L4" i="7"/>
  <c r="C306" i="7"/>
  <c r="I269" i="7"/>
  <c r="O232" i="7"/>
  <c r="G196" i="7"/>
  <c r="M159" i="7"/>
  <c r="E123" i="7"/>
  <c r="D164" i="7"/>
  <c r="B145" i="7"/>
  <c r="L126" i="7"/>
  <c r="H108" i="7"/>
  <c r="D90" i="7"/>
  <c r="N71" i="7"/>
  <c r="J53" i="7"/>
  <c r="F35" i="7"/>
  <c r="B17" i="7"/>
  <c r="M275" i="7"/>
  <c r="E239" i="7"/>
  <c r="K202" i="7"/>
  <c r="C166" i="7"/>
  <c r="I129" i="7"/>
  <c r="J169" i="7"/>
  <c r="D148" i="7"/>
  <c r="N129" i="7"/>
  <c r="J111" i="7"/>
  <c r="F93" i="7"/>
  <c r="B75" i="7"/>
  <c r="L56" i="7"/>
  <c r="H38" i="7"/>
  <c r="D20" i="7"/>
  <c r="E2" i="7"/>
  <c r="C282" i="7"/>
  <c r="I245" i="7"/>
  <c r="O208" i="7"/>
  <c r="G172" i="7"/>
  <c r="M135" i="7"/>
  <c r="E99" i="7"/>
  <c r="K62" i="7"/>
  <c r="C26" i="7"/>
  <c r="H166" i="7"/>
  <c r="L146" i="7"/>
  <c r="H128" i="7"/>
  <c r="D110" i="7"/>
  <c r="N91" i="7"/>
  <c r="J73" i="7"/>
  <c r="F55" i="7"/>
  <c r="B37" i="7"/>
  <c r="L18" i="7"/>
  <c r="O269" i="7"/>
  <c r="O229" i="7"/>
  <c r="K211" i="7"/>
  <c r="G193" i="7"/>
  <c r="C175" i="7"/>
  <c r="M156" i="7"/>
  <c r="I138" i="7"/>
  <c r="E120" i="7"/>
  <c r="O101" i="7"/>
  <c r="K83" i="7"/>
  <c r="G65" i="7"/>
  <c r="C47" i="7"/>
  <c r="M28" i="7"/>
  <c r="I10" i="7"/>
  <c r="B297" i="7"/>
  <c r="L278" i="7"/>
  <c r="H260" i="7"/>
  <c r="D242" i="7"/>
  <c r="N223" i="7"/>
  <c r="J205" i="7"/>
  <c r="F187" i="7"/>
  <c r="B169" i="7"/>
  <c r="H154" i="7"/>
  <c r="D136" i="7"/>
  <c r="N117" i="7"/>
  <c r="J99" i="7"/>
  <c r="F81" i="7"/>
  <c r="B63" i="7"/>
  <c r="L44" i="7"/>
  <c r="H26" i="7"/>
  <c r="D8" i="7"/>
  <c r="K294" i="7"/>
  <c r="C258" i="7"/>
  <c r="I221" i="7"/>
  <c r="O184" i="7"/>
  <c r="G148" i="7"/>
  <c r="M111" i="7"/>
  <c r="J157" i="7"/>
  <c r="F139" i="7"/>
  <c r="B121" i="7"/>
  <c r="L102" i="7"/>
  <c r="H84" i="7"/>
  <c r="D66" i="7"/>
  <c r="N47" i="7"/>
  <c r="J29" i="7"/>
  <c r="F11" i="7"/>
  <c r="O300" i="7"/>
  <c r="G264" i="7"/>
  <c r="M227" i="7"/>
  <c r="E191" i="7"/>
  <c r="K154" i="7"/>
  <c r="C118" i="7"/>
  <c r="L160" i="7"/>
  <c r="H142" i="7"/>
  <c r="D124" i="7"/>
  <c r="N105" i="7"/>
  <c r="J87" i="7"/>
  <c r="F69" i="7"/>
  <c r="B51" i="7"/>
  <c r="L32" i="7"/>
  <c r="H14" i="7"/>
  <c r="E307" i="7"/>
  <c r="K270" i="7"/>
  <c r="C234" i="7"/>
  <c r="I197" i="7"/>
  <c r="O160" i="7"/>
  <c r="G124" i="7"/>
  <c r="M87" i="7"/>
  <c r="E51" i="7"/>
  <c r="K14" i="7"/>
  <c r="F159" i="7"/>
  <c r="B141" i="7"/>
  <c r="L122" i="7"/>
  <c r="H104" i="7"/>
  <c r="D86" i="7"/>
  <c r="N67" i="7"/>
  <c r="J49" i="7"/>
  <c r="F31" i="7"/>
  <c r="B13" i="7"/>
  <c r="O292" i="7"/>
  <c r="G256" i="7"/>
  <c r="M219" i="7"/>
  <c r="E183" i="7"/>
  <c r="K146" i="7"/>
  <c r="C110" i="7"/>
  <c r="I73" i="7"/>
  <c r="O36" i="7"/>
  <c r="C98" i="7"/>
  <c r="O24" i="7"/>
  <c r="N298" i="7"/>
  <c r="F262" i="7"/>
  <c r="L225" i="7"/>
  <c r="D189" i="7"/>
  <c r="J152" i="7"/>
  <c r="B116" i="7"/>
  <c r="H79" i="7"/>
  <c r="N42" i="7"/>
  <c r="F6" i="7"/>
  <c r="O298" i="7"/>
  <c r="G262" i="7"/>
  <c r="M225" i="7"/>
  <c r="E189" i="7"/>
  <c r="K152" i="7"/>
  <c r="C116" i="7"/>
  <c r="I79" i="7"/>
  <c r="O42" i="7"/>
  <c r="G6" i="7"/>
  <c r="J274" i="7"/>
  <c r="B238" i="7"/>
  <c r="H201" i="7"/>
  <c r="N164" i="7"/>
  <c r="F128" i="7"/>
  <c r="G88" i="7"/>
  <c r="E15" i="7"/>
  <c r="L293" i="7"/>
  <c r="D257" i="7"/>
  <c r="J220" i="7"/>
  <c r="B184" i="7"/>
  <c r="H147" i="7"/>
  <c r="N110" i="7"/>
  <c r="F74" i="7"/>
  <c r="L37" i="7"/>
  <c r="M293" i="7"/>
  <c r="E257" i="7"/>
  <c r="K220" i="7"/>
  <c r="C184" i="7"/>
  <c r="I147" i="7"/>
  <c r="O110" i="7"/>
  <c r="G74" i="7"/>
  <c r="M37" i="7"/>
  <c r="B306" i="7"/>
  <c r="H269" i="7"/>
  <c r="N232" i="7"/>
  <c r="F196" i="7"/>
  <c r="L159" i="7"/>
  <c r="D123" i="7"/>
  <c r="J86" i="7"/>
  <c r="D27" i="7"/>
  <c r="O40" i="7"/>
  <c r="N306" i="7"/>
  <c r="F270" i="7"/>
  <c r="L233" i="7"/>
  <c r="D197" i="7"/>
  <c r="J160" i="7"/>
  <c r="B124" i="7"/>
  <c r="H87" i="7"/>
  <c r="N50" i="7"/>
  <c r="F14" i="7"/>
  <c r="O306" i="7"/>
  <c r="G270" i="7"/>
  <c r="M233" i="7"/>
  <c r="E197" i="7"/>
  <c r="K160" i="7"/>
  <c r="C124" i="7"/>
  <c r="I87" i="7"/>
  <c r="O50" i="7"/>
  <c r="G14" i="7"/>
  <c r="J282" i="7"/>
  <c r="B246" i="7"/>
  <c r="H209" i="7"/>
  <c r="N172" i="7"/>
  <c r="F136" i="7"/>
  <c r="L99" i="7"/>
  <c r="D63" i="7"/>
  <c r="J26" i="7"/>
  <c r="N84" i="7"/>
  <c r="N56" i="7"/>
  <c r="E63" i="7"/>
  <c r="D281" i="7"/>
  <c r="J244" i="7"/>
  <c r="B208" i="7"/>
  <c r="H171" i="7"/>
  <c r="N134" i="7"/>
  <c r="F98" i="7"/>
  <c r="L61" i="7"/>
  <c r="D25" i="7"/>
  <c r="E281" i="7"/>
  <c r="K244" i="7"/>
  <c r="C208" i="7"/>
  <c r="I171" i="7"/>
  <c r="O134" i="7"/>
  <c r="G98" i="7"/>
  <c r="M61" i="7"/>
  <c r="E25" i="7"/>
  <c r="H293" i="7"/>
  <c r="N256" i="7"/>
  <c r="F220" i="7"/>
  <c r="N128" i="7"/>
  <c r="B46" i="7"/>
  <c r="J6" i="7"/>
  <c r="I281" i="7"/>
  <c r="O244" i="7"/>
  <c r="G208" i="7"/>
  <c r="M171" i="7"/>
  <c r="E135" i="7"/>
  <c r="K98" i="7"/>
  <c r="C62" i="7"/>
  <c r="I25" i="7"/>
  <c r="E75" i="7"/>
  <c r="H287" i="7"/>
  <c r="N250" i="7"/>
  <c r="F214" i="7"/>
  <c r="L177" i="7"/>
  <c r="D141" i="7"/>
  <c r="J104" i="7"/>
  <c r="B68" i="7"/>
  <c r="H31" i="7"/>
  <c r="I287" i="7"/>
  <c r="O250" i="7"/>
  <c r="G214" i="7"/>
  <c r="M177" i="7"/>
  <c r="E141" i="7"/>
  <c r="K104" i="7"/>
  <c r="C68" i="7"/>
  <c r="I31" i="7"/>
  <c r="L299" i="7"/>
  <c r="D263" i="7"/>
  <c r="J226" i="7"/>
  <c r="B190" i="7"/>
  <c r="H153" i="7"/>
  <c r="L107" i="7"/>
  <c r="I65" i="7"/>
  <c r="F282" i="7"/>
  <c r="L245" i="7"/>
  <c r="D209" i="7"/>
  <c r="J172" i="7"/>
  <c r="B136" i="7"/>
  <c r="H99" i="7"/>
  <c r="N62" i="7"/>
  <c r="F26" i="7"/>
  <c r="G282" i="7"/>
  <c r="M245" i="7"/>
  <c r="E209" i="7"/>
  <c r="K172" i="7"/>
  <c r="C136" i="7"/>
  <c r="I99" i="7"/>
  <c r="O62" i="7"/>
  <c r="G26" i="7"/>
  <c r="J294" i="7"/>
  <c r="B258" i="7"/>
  <c r="H221" i="7"/>
  <c r="N184" i="7"/>
  <c r="F148" i="7"/>
  <c r="L111" i="7"/>
  <c r="D75" i="7"/>
  <c r="E91" i="7"/>
  <c r="C18" i="7"/>
  <c r="H295" i="7"/>
  <c r="N258" i="7"/>
  <c r="F222" i="7"/>
  <c r="L185" i="7"/>
  <c r="D149" i="7"/>
  <c r="J112" i="7"/>
  <c r="B76" i="7"/>
  <c r="H39" i="7"/>
  <c r="N2" i="7"/>
  <c r="I295" i="7"/>
  <c r="O258" i="7"/>
  <c r="G222" i="7"/>
  <c r="M185" i="7"/>
  <c r="E149" i="7"/>
  <c r="K112" i="7"/>
  <c r="C76" i="7"/>
  <c r="I39" i="7"/>
  <c r="O2" i="7"/>
  <c r="L307" i="7"/>
  <c r="D271" i="7"/>
  <c r="J234" i="7"/>
  <c r="B198" i="7"/>
  <c r="H161" i="7"/>
  <c r="N124" i="7"/>
  <c r="F88" i="7"/>
  <c r="L51" i="7"/>
  <c r="D15" i="7"/>
  <c r="D55" i="7"/>
  <c r="J22" i="7"/>
  <c r="G40" i="7"/>
  <c r="F306" i="7"/>
  <c r="L269" i="7"/>
  <c r="D233" i="7"/>
  <c r="J196" i="7"/>
  <c r="B160" i="7"/>
  <c r="H123" i="7"/>
  <c r="N86" i="7"/>
  <c r="F50" i="7"/>
  <c r="L13" i="7"/>
  <c r="G306" i="7"/>
  <c r="M269" i="7"/>
  <c r="E233" i="7"/>
  <c r="K196" i="7"/>
  <c r="C160" i="7"/>
  <c r="I123" i="7"/>
  <c r="O86" i="7"/>
  <c r="G50" i="7"/>
  <c r="M13" i="7"/>
  <c r="B282" i="7"/>
  <c r="H245" i="7"/>
  <c r="N208" i="7"/>
  <c r="F172" i="7"/>
  <c r="L135" i="7"/>
  <c r="D99" i="7"/>
  <c r="D87" i="7"/>
  <c r="G288" i="7"/>
  <c r="M251" i="7"/>
  <c r="E215" i="7"/>
  <c r="K178" i="7"/>
  <c r="C142" i="7"/>
  <c r="I105" i="7"/>
  <c r="O68" i="7"/>
  <c r="G32" i="7"/>
  <c r="O88" i="7"/>
  <c r="M15" i="7"/>
  <c r="F294" i="7"/>
  <c r="L257" i="7"/>
  <c r="D221" i="7"/>
  <c r="J184" i="7"/>
  <c r="B148" i="7"/>
  <c r="H111" i="7"/>
  <c r="N74" i="7"/>
  <c r="F38" i="7"/>
  <c r="G294" i="7"/>
  <c r="M257" i="7"/>
  <c r="E221" i="7"/>
  <c r="K184" i="7"/>
  <c r="C148" i="7"/>
  <c r="I111" i="7"/>
  <c r="O74" i="7"/>
  <c r="G38" i="7"/>
  <c r="J306" i="7"/>
  <c r="B270" i="7"/>
  <c r="H233" i="7"/>
  <c r="N196" i="7"/>
  <c r="F160" i="7"/>
  <c r="L123" i="7"/>
  <c r="E79" i="7"/>
  <c r="C6" i="7"/>
  <c r="D289" i="7"/>
  <c r="J252" i="7"/>
  <c r="B216" i="7"/>
  <c r="H179" i="7"/>
  <c r="N142" i="7"/>
  <c r="F106" i="7"/>
  <c r="L69" i="7"/>
  <c r="D33" i="7"/>
  <c r="C167" i="7"/>
  <c r="I130" i="7"/>
  <c r="O93" i="7"/>
  <c r="G57" i="7"/>
  <c r="M20" i="7"/>
  <c r="B289" i="7"/>
  <c r="H252" i="7"/>
  <c r="N215" i="7"/>
  <c r="F179" i="7"/>
  <c r="H146" i="7"/>
  <c r="N109" i="7"/>
  <c r="F73" i="7"/>
  <c r="L36" i="7"/>
  <c r="O296" i="7"/>
  <c r="G260" i="7"/>
  <c r="M223" i="7"/>
  <c r="E187" i="7"/>
  <c r="K150" i="7"/>
  <c r="C114" i="7"/>
  <c r="L158" i="7"/>
  <c r="H140" i="7"/>
  <c r="D122" i="7"/>
  <c r="N103" i="7"/>
  <c r="J85" i="7"/>
  <c r="F67" i="7"/>
  <c r="B49" i="7"/>
  <c r="L30" i="7"/>
  <c r="H12" i="7"/>
  <c r="E303" i="7"/>
  <c r="K266" i="7"/>
  <c r="C230" i="7"/>
  <c r="I193" i="7"/>
  <c r="O156" i="7"/>
  <c r="G120" i="7"/>
  <c r="D162" i="7"/>
  <c r="J143" i="7"/>
  <c r="F125" i="7"/>
  <c r="B107" i="7"/>
  <c r="L88" i="7"/>
  <c r="H70" i="7"/>
  <c r="D52" i="7"/>
  <c r="N33" i="7"/>
  <c r="J15" i="7"/>
  <c r="O272" i="7"/>
  <c r="G236" i="7"/>
  <c r="M199" i="7"/>
  <c r="E163" i="7"/>
  <c r="K126" i="7"/>
  <c r="C90" i="7"/>
  <c r="I53" i="7"/>
  <c r="O16" i="7"/>
  <c r="H160" i="7"/>
  <c r="D142" i="7"/>
  <c r="N123" i="7"/>
  <c r="J105" i="7"/>
  <c r="F87" i="7"/>
  <c r="B69" i="7"/>
  <c r="L50" i="7"/>
  <c r="H32" i="7"/>
  <c r="D14" i="7"/>
  <c r="G257" i="7"/>
  <c r="G225" i="7"/>
  <c r="C207" i="7"/>
  <c r="M188" i="7"/>
  <c r="I170" i="7"/>
  <c r="E152" i="7"/>
  <c r="O133" i="7"/>
  <c r="K115" i="7"/>
  <c r="G97" i="7"/>
  <c r="C79" i="7"/>
  <c r="M60" i="7"/>
  <c r="I42" i="7"/>
  <c r="E24" i="7"/>
  <c r="O5" i="7"/>
  <c r="H292" i="7"/>
  <c r="D274" i="7"/>
  <c r="N255" i="7"/>
  <c r="J237" i="7"/>
  <c r="F219" i="7"/>
  <c r="B201" i="7"/>
  <c r="L182" i="7"/>
  <c r="B173" i="7"/>
  <c r="N149" i="7"/>
  <c r="J131" i="7"/>
  <c r="F113" i="7"/>
  <c r="B95" i="7"/>
  <c r="L76" i="7"/>
  <c r="H58" i="7"/>
  <c r="D40" i="7"/>
  <c r="N21" i="7"/>
  <c r="J3" i="7"/>
  <c r="I285" i="7"/>
  <c r="O248" i="7"/>
  <c r="G212" i="7"/>
  <c r="M175" i="7"/>
  <c r="E139" i="7"/>
  <c r="K102" i="7"/>
  <c r="B153" i="7"/>
  <c r="L134" i="7"/>
  <c r="H116" i="7"/>
  <c r="D98" i="7"/>
  <c r="N79" i="7"/>
  <c r="J61" i="7"/>
  <c r="F43" i="7"/>
  <c r="B25" i="7"/>
  <c r="L6" i="7"/>
  <c r="M291" i="7"/>
  <c r="E255" i="7"/>
  <c r="K218" i="7"/>
  <c r="C182" i="7"/>
  <c r="I145" i="7"/>
  <c r="O108" i="7"/>
  <c r="D156" i="7"/>
  <c r="N137" i="7"/>
  <c r="J119" i="7"/>
  <c r="F101" i="7"/>
  <c r="B83" i="7"/>
  <c r="L64" i="7"/>
  <c r="H46" i="7"/>
  <c r="D28" i="7"/>
  <c r="N9" i="7"/>
  <c r="C298" i="7"/>
  <c r="I261" i="7"/>
  <c r="O224" i="7"/>
  <c r="G188" i="7"/>
  <c r="M151" i="7"/>
  <c r="E115" i="7"/>
  <c r="K78" i="7"/>
  <c r="C42" i="7"/>
  <c r="I5" i="7"/>
  <c r="L154" i="7"/>
  <c r="H136" i="7"/>
  <c r="D118" i="7"/>
  <c r="N99" i="7"/>
  <c r="J81" i="7"/>
  <c r="F63" i="7"/>
  <c r="B45" i="7"/>
  <c r="L26" i="7"/>
  <c r="H8" i="7"/>
  <c r="M283" i="7"/>
  <c r="E247" i="7"/>
  <c r="K210" i="7"/>
  <c r="C174" i="7"/>
  <c r="I137" i="7"/>
  <c r="O100" i="7"/>
  <c r="G64" i="7"/>
  <c r="M27" i="7"/>
  <c r="M79" i="7"/>
  <c r="K6" i="7"/>
  <c r="L289" i="7"/>
  <c r="D253" i="7"/>
  <c r="J216" i="7"/>
  <c r="B180" i="7"/>
  <c r="H143" i="7"/>
  <c r="N106" i="7"/>
  <c r="F70" i="7"/>
  <c r="L33" i="7"/>
  <c r="M289" i="7"/>
  <c r="E253" i="7"/>
  <c r="K216" i="7"/>
  <c r="C180" i="7"/>
  <c r="I143" i="7"/>
  <c r="O106" i="7"/>
  <c r="G70" i="7"/>
  <c r="M33" i="7"/>
  <c r="B302" i="7"/>
  <c r="H265" i="7"/>
  <c r="N228" i="7"/>
  <c r="F192" i="7"/>
  <c r="L155" i="7"/>
  <c r="J114" i="7"/>
  <c r="C70" i="7"/>
  <c r="J284" i="7"/>
  <c r="B248" i="7"/>
  <c r="H211" i="7"/>
  <c r="N174" i="7"/>
  <c r="F138" i="7"/>
  <c r="L101" i="7"/>
  <c r="D65" i="7"/>
  <c r="J28" i="7"/>
  <c r="K284" i="7"/>
  <c r="C248" i="7"/>
  <c r="I211" i="7"/>
  <c r="O174" i="7"/>
  <c r="G138" i="7"/>
  <c r="M101" i="7"/>
  <c r="E65" i="7"/>
  <c r="K28" i="7"/>
  <c r="N296" i="7"/>
  <c r="F260" i="7"/>
  <c r="L223" i="7"/>
  <c r="D187" i="7"/>
  <c r="J150" i="7"/>
  <c r="B114" i="7"/>
  <c r="H77" i="7"/>
  <c r="M95" i="7"/>
  <c r="K22" i="7"/>
  <c r="L297" i="7"/>
  <c r="D261" i="7"/>
  <c r="J224" i="7"/>
  <c r="B188" i="7"/>
  <c r="H151" i="7"/>
  <c r="N114" i="7"/>
  <c r="F78" i="7"/>
  <c r="L41" i="7"/>
  <c r="D5" i="7"/>
  <c r="M297" i="7"/>
  <c r="E261" i="7"/>
  <c r="K224" i="7"/>
  <c r="C188" i="7"/>
  <c r="I151" i="7"/>
  <c r="O114" i="7"/>
  <c r="G78" i="7"/>
  <c r="M41" i="7"/>
  <c r="E5" i="7"/>
  <c r="H273" i="7"/>
  <c r="N236" i="7"/>
  <c r="F200" i="7"/>
  <c r="L163" i="7"/>
  <c r="D127" i="7"/>
  <c r="J90" i="7"/>
  <c r="B54" i="7"/>
  <c r="H17" i="7"/>
  <c r="B62" i="7"/>
  <c r="H29" i="7"/>
  <c r="O44" i="7"/>
  <c r="J308" i="7"/>
  <c r="B272" i="7"/>
  <c r="H235" i="7"/>
  <c r="N198" i="7"/>
  <c r="F162" i="7"/>
  <c r="L125" i="7"/>
  <c r="D89" i="7"/>
  <c r="J52" i="7"/>
  <c r="B16" i="7"/>
  <c r="K308" i="7"/>
  <c r="C272" i="7"/>
  <c r="I235" i="7"/>
  <c r="O198" i="7"/>
  <c r="G162" i="7"/>
  <c r="M125" i="7"/>
  <c r="E89" i="7"/>
  <c r="K52" i="7"/>
  <c r="C16" i="7"/>
  <c r="F284" i="7"/>
  <c r="L247" i="7"/>
  <c r="D211" i="7"/>
  <c r="F92" i="7"/>
  <c r="J62" i="7"/>
  <c r="O308" i="7"/>
  <c r="G272" i="7"/>
  <c r="M235" i="7"/>
  <c r="E199" i="7"/>
  <c r="K162" i="7"/>
  <c r="C126" i="7"/>
  <c r="I89" i="7"/>
  <c r="O52" i="7"/>
  <c r="G16" i="7"/>
  <c r="O56" i="7"/>
  <c r="F278" i="7"/>
  <c r="L241" i="7"/>
  <c r="D205" i="7"/>
  <c r="J168" i="7"/>
  <c r="B132" i="7"/>
  <c r="H95" i="7"/>
  <c r="N58" i="7"/>
  <c r="F22" i="7"/>
  <c r="G278" i="7"/>
  <c r="M241" i="7"/>
  <c r="E205" i="7"/>
  <c r="K168" i="7"/>
  <c r="C132" i="7"/>
  <c r="I95" i="7"/>
  <c r="O58" i="7"/>
  <c r="G22" i="7"/>
  <c r="J290" i="7"/>
  <c r="B254" i="7"/>
  <c r="H217" i="7"/>
  <c r="N180" i="7"/>
  <c r="F144" i="7"/>
  <c r="D71" i="7"/>
  <c r="E47" i="7"/>
  <c r="D273" i="7"/>
  <c r="J236" i="7"/>
  <c r="B200" i="7"/>
  <c r="H163" i="7"/>
  <c r="N126" i="7"/>
  <c r="F90" i="7"/>
  <c r="L53" i="7"/>
  <c r="D17" i="7"/>
  <c r="E273" i="7"/>
  <c r="K236" i="7"/>
  <c r="C200" i="7"/>
  <c r="I163" i="7"/>
  <c r="O126" i="7"/>
  <c r="G90" i="7"/>
  <c r="M53" i="7"/>
  <c r="E17" i="7"/>
  <c r="H285" i="7"/>
  <c r="N248" i="7"/>
  <c r="F212" i="7"/>
  <c r="L175" i="7"/>
  <c r="D139" i="7"/>
  <c r="J102" i="7"/>
  <c r="B66" i="7"/>
  <c r="O72" i="7"/>
  <c r="F286" i="7"/>
  <c r="L249" i="7"/>
  <c r="D213" i="7"/>
  <c r="J176" i="7"/>
  <c r="B140" i="7"/>
  <c r="H103" i="7"/>
  <c r="N66" i="7"/>
  <c r="F30" i="7"/>
  <c r="G286" i="7"/>
  <c r="M249" i="7"/>
  <c r="E213" i="7"/>
  <c r="K176" i="7"/>
  <c r="C140" i="7"/>
  <c r="I103" i="7"/>
  <c r="O66" i="7"/>
  <c r="G30" i="7"/>
  <c r="J298" i="7"/>
  <c r="B262" i="7"/>
  <c r="H225" i="7"/>
  <c r="N188" i="7"/>
  <c r="F152" i="7"/>
  <c r="L115" i="7"/>
  <c r="D79" i="7"/>
  <c r="J42" i="7"/>
  <c r="B6" i="7"/>
  <c r="F32" i="7"/>
  <c r="E95" i="7"/>
  <c r="C22" i="7"/>
  <c r="D297" i="7"/>
  <c r="J260" i="7"/>
  <c r="B224" i="7"/>
  <c r="H187" i="7"/>
  <c r="N150" i="7"/>
  <c r="F114" i="7"/>
  <c r="L77" i="7"/>
  <c r="D41" i="7"/>
  <c r="J4" i="7"/>
  <c r="E297" i="7"/>
  <c r="K260" i="7"/>
  <c r="C224" i="7"/>
  <c r="I187" i="7"/>
  <c r="O150" i="7"/>
  <c r="G114" i="7"/>
  <c r="M77" i="7"/>
  <c r="E41" i="7"/>
  <c r="K4" i="7"/>
  <c r="N272" i="7"/>
  <c r="F236" i="7"/>
  <c r="L199" i="7"/>
  <c r="D163" i="7"/>
  <c r="J126" i="7"/>
  <c r="B90" i="7"/>
  <c r="H61" i="7"/>
  <c r="E279" i="7"/>
  <c r="K242" i="7"/>
  <c r="C206" i="7"/>
  <c r="I169" i="7"/>
  <c r="O132" i="7"/>
  <c r="G96" i="7"/>
  <c r="M59" i="7"/>
  <c r="E23" i="7"/>
  <c r="K70" i="7"/>
  <c r="D285" i="7"/>
  <c r="J248" i="7"/>
  <c r="B212" i="7"/>
  <c r="H175" i="7"/>
  <c r="N138" i="7"/>
  <c r="F102" i="7"/>
  <c r="L65" i="7"/>
  <c r="D29" i="7"/>
  <c r="E285" i="7"/>
  <c r="K248" i="7"/>
  <c r="C212" i="7"/>
  <c r="I175" i="7"/>
  <c r="O138" i="7"/>
  <c r="G102" i="7"/>
  <c r="M65" i="7"/>
  <c r="E29" i="7"/>
  <c r="H297" i="7"/>
  <c r="N260" i="7"/>
  <c r="F224" i="7"/>
  <c r="L187" i="7"/>
  <c r="D151" i="7"/>
  <c r="N100" i="7"/>
  <c r="O60" i="7"/>
  <c r="B280" i="7"/>
  <c r="H243" i="7"/>
  <c r="N206" i="7"/>
  <c r="F170" i="7"/>
  <c r="L133" i="7"/>
  <c r="D97" i="7"/>
  <c r="J60" i="7"/>
  <c r="B24" i="7"/>
  <c r="C280" i="7"/>
  <c r="I243" i="7"/>
  <c r="O206" i="7"/>
  <c r="G170" i="7"/>
  <c r="M133" i="7"/>
  <c r="E97" i="7"/>
  <c r="K60" i="7"/>
  <c r="C24" i="7"/>
  <c r="F292" i="7"/>
  <c r="L255" i="7"/>
  <c r="D219" i="7"/>
  <c r="J182" i="7"/>
  <c r="B146" i="7"/>
  <c r="H109" i="7"/>
  <c r="N72" i="7"/>
  <c r="K86" i="7"/>
  <c r="I13" i="7"/>
  <c r="D293" i="7"/>
  <c r="J256" i="7"/>
  <c r="B220" i="7"/>
  <c r="H183" i="7"/>
  <c r="N146" i="7"/>
  <c r="F110" i="7"/>
  <c r="L73" i="7"/>
  <c r="D37" i="7"/>
  <c r="F298" i="7"/>
  <c r="B152" i="7"/>
  <c r="L5" i="7"/>
  <c r="E289" i="7"/>
  <c r="C216" i="7"/>
  <c r="O142" i="7"/>
  <c r="M69" i="7"/>
  <c r="H301" i="7"/>
  <c r="F228" i="7"/>
  <c r="D155" i="7"/>
  <c r="B82" i="7"/>
  <c r="M31" i="7"/>
  <c r="F302" i="7"/>
  <c r="D229" i="7"/>
  <c r="B156" i="7"/>
  <c r="N82" i="7"/>
  <c r="L9" i="7"/>
  <c r="E293" i="7"/>
  <c r="K256" i="7"/>
  <c r="C220" i="7"/>
  <c r="I183" i="7"/>
  <c r="O146" i="7"/>
  <c r="G110" i="7"/>
  <c r="M73" i="7"/>
  <c r="E37" i="7"/>
  <c r="H305" i="7"/>
  <c r="N268" i="7"/>
  <c r="F232" i="7"/>
  <c r="L195" i="7"/>
  <c r="D159" i="7"/>
  <c r="J122" i="7"/>
  <c r="B86" i="7"/>
  <c r="H49" i="7"/>
  <c r="N12" i="7"/>
  <c r="J50" i="7"/>
  <c r="L15" i="7"/>
  <c r="M35" i="7"/>
  <c r="B304" i="7"/>
  <c r="H267" i="7"/>
  <c r="N230" i="7"/>
  <c r="F194" i="7"/>
  <c r="L157" i="7"/>
  <c r="D121" i="7"/>
  <c r="J84" i="7"/>
  <c r="B48" i="7"/>
  <c r="H11" i="7"/>
  <c r="C304" i="7"/>
  <c r="I267" i="7"/>
  <c r="O230" i="7"/>
  <c r="G194" i="7"/>
  <c r="M157" i="7"/>
  <c r="E121" i="7"/>
  <c r="K84" i="7"/>
  <c r="C48" i="7"/>
  <c r="I11" i="7"/>
  <c r="L279" i="7"/>
  <c r="D243" i="7"/>
  <c r="J206" i="7"/>
  <c r="B170" i="7"/>
  <c r="H133" i="7"/>
  <c r="N96" i="7"/>
  <c r="F60" i="7"/>
  <c r="L23" i="7"/>
  <c r="F80" i="7"/>
  <c r="F52" i="7"/>
  <c r="B138" i="7"/>
  <c r="H37" i="7"/>
  <c r="J38" i="7"/>
  <c r="J18" i="7"/>
  <c r="O276" i="7"/>
  <c r="G240" i="7"/>
  <c r="M203" i="7"/>
  <c r="E167" i="7"/>
  <c r="K130" i="7"/>
  <c r="C94" i="7"/>
  <c r="I57" i="7"/>
  <c r="O20" i="7"/>
  <c r="C66" i="7"/>
  <c r="N282" i="7"/>
  <c r="F246" i="7"/>
  <c r="L209" i="7"/>
  <c r="D173" i="7"/>
  <c r="J136" i="7"/>
  <c r="B100" i="7"/>
  <c r="H63" i="7"/>
  <c r="N26" i="7"/>
  <c r="O282" i="7"/>
  <c r="G246" i="7"/>
  <c r="M209" i="7"/>
  <c r="E173" i="7"/>
  <c r="K136" i="7"/>
  <c r="C100" i="7"/>
  <c r="I63" i="7"/>
  <c r="O26" i="7"/>
  <c r="D295" i="7"/>
  <c r="J258" i="7"/>
  <c r="B222" i="7"/>
  <c r="H185" i="7"/>
  <c r="N148" i="7"/>
  <c r="H89" i="7"/>
  <c r="G56" i="7"/>
  <c r="L277" i="7"/>
  <c r="D241" i="7"/>
  <c r="J204" i="7"/>
  <c r="B168" i="7"/>
  <c r="H131" i="7"/>
  <c r="N94" i="7"/>
  <c r="F58" i="7"/>
  <c r="L21" i="7"/>
  <c r="M277" i="7"/>
  <c r="E241" i="7"/>
  <c r="K204" i="7"/>
  <c r="C168" i="7"/>
  <c r="I131" i="7"/>
  <c r="O94" i="7"/>
  <c r="G58" i="7"/>
  <c r="M21" i="7"/>
  <c r="B290" i="7"/>
  <c r="H253" i="7"/>
  <c r="N216" i="7"/>
  <c r="F180" i="7"/>
  <c r="L143" i="7"/>
  <c r="D107" i="7"/>
  <c r="J70" i="7"/>
  <c r="C82" i="7"/>
  <c r="O8" i="7"/>
  <c r="N290" i="7"/>
  <c r="F254" i="7"/>
  <c r="L217" i="7"/>
  <c r="D181" i="7"/>
  <c r="J144" i="7"/>
  <c r="B108" i="7"/>
  <c r="H71" i="7"/>
  <c r="N34" i="7"/>
  <c r="O290" i="7"/>
  <c r="G254" i="7"/>
  <c r="M217" i="7"/>
  <c r="E181" i="7"/>
  <c r="K144" i="7"/>
  <c r="C108" i="7"/>
  <c r="I71" i="7"/>
  <c r="O34" i="7"/>
  <c r="D303" i="7"/>
  <c r="J266" i="7"/>
  <c r="B230" i="7"/>
  <c r="H193" i="7"/>
  <c r="N156" i="7"/>
  <c r="F120" i="7"/>
  <c r="L83" i="7"/>
  <c r="D47" i="7"/>
  <c r="J10" i="7"/>
  <c r="L43" i="7"/>
  <c r="N8" i="7"/>
  <c r="E31" i="7"/>
  <c r="L301" i="7"/>
  <c r="D265" i="7"/>
  <c r="J228" i="7"/>
  <c r="B192" i="7"/>
  <c r="H155" i="7"/>
  <c r="N118" i="7"/>
  <c r="F82" i="7"/>
  <c r="D9" i="7"/>
  <c r="C192" i="7"/>
  <c r="M45" i="7"/>
  <c r="L167" i="7"/>
  <c r="L75" i="7"/>
  <c r="L7" i="7"/>
  <c r="E73" i="7"/>
  <c r="L231" i="7"/>
  <c r="N48" i="7"/>
  <c r="L119" i="7"/>
  <c r="L261" i="7"/>
  <c r="H115" i="7"/>
  <c r="M261" i="7"/>
  <c r="K188" i="7"/>
  <c r="I115" i="7"/>
  <c r="G42" i="7"/>
  <c r="B274" i="7"/>
  <c r="N200" i="7"/>
  <c r="L127" i="7"/>
  <c r="N40" i="7"/>
  <c r="N274" i="7"/>
  <c r="L201" i="7"/>
  <c r="J128" i="7"/>
  <c r="H55" i="7"/>
  <c r="C284" i="7"/>
  <c r="I247" i="7"/>
  <c r="O210" i="7"/>
  <c r="G174" i="7"/>
  <c r="M137" i="7"/>
  <c r="E101" i="7"/>
  <c r="K64" i="7"/>
  <c r="C28" i="7"/>
  <c r="F296" i="7"/>
  <c r="L259" i="7"/>
  <c r="D223" i="7"/>
  <c r="J186" i="7"/>
  <c r="B150" i="7"/>
  <c r="H113" i="7"/>
  <c r="N76" i="7"/>
  <c r="F40" i="7"/>
  <c r="L3" i="7"/>
  <c r="H25" i="7"/>
  <c r="K90" i="7"/>
  <c r="I17" i="7"/>
  <c r="N294" i="7"/>
  <c r="F258" i="7"/>
  <c r="L221" i="7"/>
  <c r="D185" i="7"/>
  <c r="J148" i="7"/>
  <c r="B112" i="7"/>
  <c r="H75" i="7"/>
  <c r="N38" i="7"/>
  <c r="F2" i="7"/>
  <c r="O294" i="7"/>
  <c r="G258" i="7"/>
  <c r="M221" i="7"/>
  <c r="E185" i="7"/>
  <c r="K148" i="7"/>
  <c r="C112" i="7"/>
  <c r="I75" i="7"/>
  <c r="O38" i="7"/>
  <c r="G2" i="7"/>
  <c r="D307" i="7"/>
  <c r="J270" i="7"/>
  <c r="B234" i="7"/>
  <c r="H197" i="7"/>
  <c r="N160" i="7"/>
  <c r="F124" i="7"/>
  <c r="L87" i="7"/>
  <c r="D51" i="7"/>
  <c r="J14" i="7"/>
  <c r="H57" i="7"/>
  <c r="N24" i="7"/>
  <c r="J110" i="7"/>
  <c r="D19" i="7"/>
  <c r="L71" i="7"/>
  <c r="G304" i="7"/>
  <c r="M267" i="7"/>
  <c r="E231" i="7"/>
  <c r="K194" i="7"/>
  <c r="C158" i="7"/>
  <c r="I121" i="7"/>
  <c r="O84" i="7"/>
  <c r="G48" i="7"/>
  <c r="M11" i="7"/>
  <c r="M47" i="7"/>
  <c r="L273" i="7"/>
  <c r="D237" i="7"/>
  <c r="J200" i="7"/>
  <c r="B164" i="7"/>
  <c r="H127" i="7"/>
  <c r="N90" i="7"/>
  <c r="F54" i="7"/>
  <c r="L17" i="7"/>
  <c r="M273" i="7"/>
  <c r="E237" i="7"/>
  <c r="K200" i="7"/>
  <c r="C164" i="7"/>
  <c r="I127" i="7"/>
  <c r="O90" i="7"/>
  <c r="G54" i="7"/>
  <c r="M17" i="7"/>
  <c r="B286" i="7"/>
  <c r="H249" i="7"/>
  <c r="N212" i="7"/>
  <c r="F176" i="7"/>
  <c r="L139" i="7"/>
  <c r="F48" i="7"/>
  <c r="C38" i="7"/>
  <c r="D305" i="7"/>
  <c r="J268" i="7"/>
  <c r="B232" i="7"/>
  <c r="H195" i="7"/>
  <c r="N158" i="7"/>
  <c r="F122" i="7"/>
  <c r="L85" i="7"/>
  <c r="D49" i="7"/>
  <c r="J12" i="7"/>
  <c r="E305" i="7"/>
  <c r="K268" i="7"/>
  <c r="C232" i="7"/>
  <c r="I195" i="7"/>
  <c r="O158" i="7"/>
  <c r="G122" i="7"/>
  <c r="M85" i="7"/>
  <c r="E49" i="7"/>
  <c r="K12" i="7"/>
  <c r="N280" i="7"/>
  <c r="F244" i="7"/>
  <c r="L207" i="7"/>
  <c r="D171" i="7"/>
  <c r="J134" i="7"/>
  <c r="B98" i="7"/>
  <c r="D59" i="7"/>
  <c r="M63" i="7"/>
  <c r="L281" i="7"/>
  <c r="D245" i="7"/>
  <c r="J208" i="7"/>
  <c r="B172" i="7"/>
  <c r="H135" i="7"/>
  <c r="N98" i="7"/>
  <c r="F62" i="7"/>
  <c r="L25" i="7"/>
  <c r="M281" i="7"/>
  <c r="E245" i="7"/>
  <c r="K208" i="7"/>
  <c r="C172" i="7"/>
  <c r="I135" i="7"/>
  <c r="O98" i="7"/>
  <c r="G62" i="7"/>
  <c r="M25" i="7"/>
  <c r="B294" i="7"/>
  <c r="H257" i="7"/>
  <c r="N220" i="7"/>
  <c r="F184" i="7"/>
  <c r="L147" i="7"/>
  <c r="D111" i="7"/>
  <c r="J74" i="7"/>
  <c r="B38" i="7"/>
  <c r="D119" i="7"/>
  <c r="N20" i="7"/>
  <c r="C86" i="7"/>
  <c r="O12" i="7"/>
  <c r="J292" i="7"/>
  <c r="B256" i="7"/>
  <c r="H219" i="7"/>
  <c r="N182" i="7"/>
  <c r="F146" i="7"/>
  <c r="L109" i="7"/>
  <c r="D73" i="7"/>
  <c r="J36" i="7"/>
  <c r="K292" i="7"/>
  <c r="O182" i="7"/>
  <c r="G146" i="7"/>
  <c r="F268" i="7"/>
  <c r="B122" i="7"/>
  <c r="N52" i="7"/>
  <c r="H13" i="7"/>
  <c r="D225" i="7"/>
  <c r="N78" i="7"/>
  <c r="K252" i="7"/>
  <c r="I179" i="7"/>
  <c r="G106" i="7"/>
  <c r="E33" i="7"/>
  <c r="N264" i="7"/>
  <c r="L191" i="7"/>
  <c r="J118" i="7"/>
  <c r="D11" i="7"/>
  <c r="L265" i="7"/>
  <c r="J192" i="7"/>
  <c r="H119" i="7"/>
  <c r="F46" i="7"/>
  <c r="O274" i="7"/>
  <c r="G238" i="7"/>
  <c r="M201" i="7"/>
  <c r="E165" i="7"/>
  <c r="K128" i="7"/>
  <c r="C92" i="7"/>
  <c r="I55" i="7"/>
  <c r="O18" i="7"/>
  <c r="D287" i="7"/>
  <c r="J250" i="7"/>
  <c r="B214" i="7"/>
  <c r="H177" i="7"/>
  <c r="N140" i="7"/>
  <c r="F104" i="7"/>
  <c r="L67" i="7"/>
  <c r="D31" i="7"/>
  <c r="F96" i="7"/>
  <c r="D7" i="7"/>
  <c r="G72" i="7"/>
  <c r="L285" i="7"/>
  <c r="D249" i="7"/>
  <c r="J212" i="7"/>
  <c r="B176" i="7"/>
  <c r="H139" i="7"/>
  <c r="N102" i="7"/>
  <c r="F66" i="7"/>
  <c r="L29" i="7"/>
  <c r="M285" i="7"/>
  <c r="E249" i="7"/>
  <c r="K212" i="7"/>
  <c r="C176" i="7"/>
  <c r="I139" i="7"/>
  <c r="O102" i="7"/>
  <c r="G66" i="7"/>
  <c r="M29" i="7"/>
  <c r="B298" i="7"/>
  <c r="H261" i="7"/>
  <c r="N224" i="7"/>
  <c r="F188" i="7"/>
  <c r="L151" i="7"/>
  <c r="D115" i="7"/>
  <c r="J78" i="7"/>
  <c r="B42" i="7"/>
  <c r="H5" i="7"/>
  <c r="J34" i="7"/>
  <c r="N192" i="7"/>
  <c r="D83" i="7"/>
  <c r="B94" i="7"/>
  <c r="D35" i="7"/>
  <c r="E295" i="7"/>
  <c r="K258" i="7"/>
  <c r="C222" i="7"/>
  <c r="I185" i="7"/>
  <c r="O148" i="7"/>
  <c r="G112" i="7"/>
  <c r="M75" i="7"/>
  <c r="E39" i="7"/>
  <c r="K2" i="7"/>
  <c r="I29" i="7"/>
  <c r="D301" i="7"/>
  <c r="J264" i="7"/>
  <c r="B228" i="7"/>
  <c r="H191" i="7"/>
  <c r="N154" i="7"/>
  <c r="F118" i="7"/>
  <c r="L81" i="7"/>
  <c r="D45" i="7"/>
  <c r="J8" i="7"/>
  <c r="E301" i="7"/>
  <c r="K264" i="7"/>
  <c r="C228" i="7"/>
  <c r="I191" i="7"/>
  <c r="O154" i="7"/>
  <c r="G118" i="7"/>
  <c r="M81" i="7"/>
  <c r="E45" i="7"/>
  <c r="K8" i="7"/>
  <c r="N276" i="7"/>
  <c r="F240" i="7"/>
  <c r="L203" i="7"/>
  <c r="D167" i="7"/>
  <c r="J130" i="7"/>
  <c r="O92" i="7"/>
  <c r="M19" i="7"/>
  <c r="B296" i="7"/>
  <c r="H259" i="7"/>
  <c r="N222" i="7"/>
  <c r="F186" i="7"/>
  <c r="L149" i="7"/>
  <c r="D113" i="7"/>
  <c r="J76" i="7"/>
  <c r="B40" i="7"/>
  <c r="H3" i="7"/>
  <c r="C296" i="7"/>
  <c r="I259" i="7"/>
  <c r="O222" i="7"/>
  <c r="G186" i="7"/>
  <c r="M149" i="7"/>
  <c r="E113" i="7"/>
  <c r="K76" i="7"/>
  <c r="C40" i="7"/>
  <c r="I3" i="7"/>
  <c r="F308" i="7"/>
  <c r="L271" i="7"/>
  <c r="D235" i="7"/>
  <c r="J198" i="7"/>
  <c r="B162" i="7"/>
  <c r="H125" i="7"/>
  <c r="N88" i="7"/>
  <c r="B34" i="7"/>
  <c r="I45" i="7"/>
  <c r="J272" i="7"/>
  <c r="B236" i="7"/>
  <c r="H199" i="7"/>
  <c r="N162" i="7"/>
  <c r="F126" i="7"/>
  <c r="L89" i="7"/>
  <c r="D53" i="7"/>
  <c r="J16" i="7"/>
  <c r="K272" i="7"/>
  <c r="C236" i="7"/>
  <c r="I199" i="7"/>
  <c r="O162" i="7"/>
  <c r="G126" i="7"/>
  <c r="M89" i="7"/>
  <c r="E53" i="7"/>
  <c r="K16" i="7"/>
  <c r="N284" i="7"/>
  <c r="F248" i="7"/>
  <c r="L211" i="7"/>
  <c r="D175" i="7"/>
  <c r="J138" i="7"/>
  <c r="B102" i="7"/>
  <c r="H65" i="7"/>
  <c r="N28" i="7"/>
  <c r="L91" i="7"/>
  <c r="J2" i="7"/>
  <c r="M67" i="7"/>
  <c r="H283" i="7"/>
  <c r="N246" i="7"/>
  <c r="F210" i="7"/>
  <c r="L173" i="7"/>
  <c r="D137" i="7"/>
  <c r="J100" i="7"/>
  <c r="B64" i="7"/>
  <c r="H27" i="7"/>
  <c r="I283" i="7"/>
  <c r="O246" i="7"/>
  <c r="G210" i="7"/>
  <c r="M173" i="7"/>
  <c r="E137" i="7"/>
  <c r="K100" i="7"/>
  <c r="C64" i="7"/>
  <c r="I27" i="7"/>
  <c r="L295" i="7"/>
  <c r="D259" i="7"/>
  <c r="J222" i="7"/>
  <c r="B186" i="7"/>
  <c r="H149" i="7"/>
  <c r="N112" i="7"/>
  <c r="F76" i="7"/>
  <c r="L39" i="7"/>
  <c r="D3" i="7"/>
  <c r="L27" i="7"/>
  <c r="B202" i="7"/>
  <c r="H101" i="7"/>
  <c r="H121" i="7"/>
  <c r="N80" i="7"/>
  <c r="L31" i="7"/>
  <c r="E265" i="7"/>
  <c r="I155" i="7"/>
  <c r="G82" i="7"/>
  <c r="N240" i="7"/>
  <c r="D131" i="7"/>
  <c r="B58" i="7"/>
  <c r="H45" i="7"/>
  <c r="L55" i="7"/>
  <c r="C256" i="7"/>
  <c r="M109" i="7"/>
  <c r="J158" i="7"/>
  <c r="F12" i="7"/>
  <c r="F28" i="7"/>
  <c r="J188" i="7"/>
  <c r="F42" i="7"/>
  <c r="G298" i="7"/>
  <c r="E225" i="7"/>
  <c r="C152" i="7"/>
  <c r="O78" i="7"/>
  <c r="M5" i="7"/>
  <c r="H237" i="7"/>
  <c r="F164" i="7"/>
  <c r="D91" i="7"/>
  <c r="C50" i="7"/>
  <c r="F238" i="7"/>
  <c r="D165" i="7"/>
  <c r="B92" i="7"/>
  <c r="N18" i="7"/>
  <c r="G302" i="7"/>
  <c r="M265" i="7"/>
  <c r="E229" i="7"/>
  <c r="K192" i="7"/>
  <c r="C156" i="7"/>
  <c r="I119" i="7"/>
  <c r="O82" i="7"/>
  <c r="G46" i="7"/>
  <c r="M9" i="7"/>
  <c r="B278" i="7"/>
  <c r="H241" i="7"/>
  <c r="N204" i="7"/>
  <c r="F168" i="7"/>
  <c r="L131" i="7"/>
  <c r="D95" i="7"/>
  <c r="J58" i="7"/>
  <c r="B22" i="7"/>
  <c r="H73" i="7"/>
  <c r="D43" i="7"/>
  <c r="C54" i="7"/>
  <c r="J276" i="7"/>
  <c r="B240" i="7"/>
  <c r="H203" i="7"/>
  <c r="N166" i="7"/>
  <c r="F130" i="7"/>
  <c r="L93" i="7"/>
  <c r="D57" i="7"/>
  <c r="J20" i="7"/>
  <c r="K276" i="7"/>
  <c r="C240" i="7"/>
  <c r="I203" i="7"/>
  <c r="O166" i="7"/>
  <c r="G130" i="7"/>
  <c r="M93" i="7"/>
  <c r="E57" i="7"/>
  <c r="K20" i="7"/>
  <c r="N288" i="7"/>
  <c r="F252" i="7"/>
  <c r="L215" i="7"/>
  <c r="D179" i="7"/>
  <c r="J142" i="7"/>
  <c r="B106" i="7"/>
  <c r="H69" i="7"/>
  <c r="N32" i="7"/>
  <c r="D103" i="7"/>
  <c r="B14" i="7"/>
  <c r="H165" i="7"/>
  <c r="N64" i="7"/>
  <c r="D23" i="7"/>
  <c r="B110" i="7"/>
  <c r="C286" i="7"/>
  <c r="I249" i="7"/>
  <c r="O212" i="7"/>
  <c r="G176" i="7"/>
  <c r="M139" i="7"/>
  <c r="E103" i="7"/>
  <c r="K66" i="7"/>
  <c r="C30" i="7"/>
  <c r="G84" i="7"/>
  <c r="E11" i="7"/>
  <c r="B292" i="7"/>
  <c r="H255" i="7"/>
  <c r="N218" i="7"/>
  <c r="F182" i="7"/>
  <c r="L145" i="7"/>
  <c r="D109" i="7"/>
  <c r="J72" i="7"/>
  <c r="B36" i="7"/>
  <c r="C292" i="7"/>
  <c r="I255" i="7"/>
  <c r="O218" i="7"/>
  <c r="G182" i="7"/>
  <c r="M145" i="7"/>
  <c r="E109" i="7"/>
  <c r="K72" i="7"/>
  <c r="C36" i="7"/>
  <c r="F304" i="7"/>
  <c r="L267" i="7"/>
  <c r="D231" i="7"/>
  <c r="J194" i="7"/>
  <c r="B158" i="7"/>
  <c r="N116" i="7"/>
  <c r="K74" i="7"/>
  <c r="N286" i="7"/>
  <c r="F250" i="7"/>
  <c r="L213" i="7"/>
  <c r="D177" i="7"/>
  <c r="J140" i="7"/>
  <c r="B104" i="7"/>
  <c r="H67" i="7"/>
  <c r="N30" i="7"/>
  <c r="O286" i="7"/>
  <c r="G250" i="7"/>
  <c r="M213" i="7"/>
  <c r="E177" i="7"/>
  <c r="K140" i="7"/>
  <c r="C104" i="7"/>
  <c r="I67" i="7"/>
  <c r="O30" i="7"/>
  <c r="D299" i="7"/>
  <c r="J262" i="7"/>
  <c r="B226" i="7"/>
  <c r="H189" i="7"/>
  <c r="N152" i="7"/>
  <c r="F116" i="7"/>
  <c r="L79" i="7"/>
  <c r="B2" i="7"/>
  <c r="E27" i="7"/>
  <c r="B300" i="7"/>
  <c r="H263" i="7"/>
  <c r="N226" i="7"/>
  <c r="F190" i="7"/>
  <c r="L153" i="7"/>
  <c r="D117" i="7"/>
  <c r="J80" i="7"/>
  <c r="B44" i="7"/>
  <c r="H7" i="7"/>
  <c r="C300" i="7"/>
  <c r="I263" i="7"/>
  <c r="O226" i="7"/>
  <c r="G190" i="7"/>
  <c r="M153" i="7"/>
  <c r="E117" i="7"/>
  <c r="K80" i="7"/>
  <c r="C44" i="7"/>
  <c r="I7" i="7"/>
  <c r="L275" i="7"/>
  <c r="D239" i="7"/>
  <c r="J202" i="7"/>
  <c r="B166" i="7"/>
  <c r="H129" i="7"/>
  <c r="N92" i="7"/>
  <c r="F56" i="7"/>
  <c r="L19" i="7"/>
  <c r="J66" i="7"/>
  <c r="F36" i="7"/>
  <c r="I49" i="7"/>
  <c r="F274" i="7"/>
  <c r="L237" i="7"/>
  <c r="D201" i="7"/>
  <c r="J164" i="7"/>
  <c r="B128" i="7"/>
  <c r="H91" i="7"/>
  <c r="N54" i="7"/>
  <c r="F18" i="7"/>
  <c r="G274" i="7"/>
  <c r="M237" i="7"/>
  <c r="E201" i="7"/>
  <c r="K164" i="7"/>
  <c r="C128" i="7"/>
  <c r="I91" i="7"/>
  <c r="O54" i="7"/>
  <c r="G18" i="7"/>
  <c r="J286" i="7"/>
  <c r="B250" i="7"/>
  <c r="H213" i="7"/>
  <c r="N176" i="7"/>
  <c r="F140" i="7"/>
  <c r="L103" i="7"/>
  <c r="D67" i="7"/>
  <c r="J30" i="7"/>
  <c r="J98" i="7"/>
  <c r="H9" i="7"/>
  <c r="J174" i="7"/>
  <c r="B74" i="7"/>
  <c r="N68" i="7"/>
  <c r="F44" i="7"/>
  <c r="L45" i="7"/>
  <c r="M301" i="7"/>
  <c r="K228" i="7"/>
  <c r="O118" i="7"/>
  <c r="E9" i="7"/>
  <c r="H277" i="7"/>
  <c r="F204" i="7"/>
  <c r="J94" i="7"/>
  <c r="H21" i="7"/>
  <c r="D147" i="7"/>
  <c r="N4" i="7"/>
  <c r="I219" i="7"/>
  <c r="K36" i="7"/>
  <c r="N304" i="7"/>
  <c r="D195" i="7"/>
  <c r="H85" i="7"/>
  <c r="B18" i="7"/>
  <c r="F64" i="7"/>
</calcChain>
</file>

<file path=xl/sharedStrings.xml><?xml version="1.0" encoding="utf-8"?>
<sst xmlns="http://schemas.openxmlformats.org/spreadsheetml/2006/main" count="322" uniqueCount="322">
  <si>
    <t>%Chg</t>
  </si>
  <si>
    <t>Net Change</t>
  </si>
  <si>
    <t>Close</t>
  </si>
  <si>
    <t>Company</t>
  </si>
  <si>
    <t>Description</t>
  </si>
  <si>
    <t>Exchange</t>
  </si>
  <si>
    <t>High</t>
  </si>
  <si>
    <t>Last</t>
  </si>
  <si>
    <t>Last Time</t>
  </si>
  <si>
    <t>Low</t>
  </si>
  <si>
    <t>Open</t>
  </si>
  <si>
    <t>Previous</t>
  </si>
  <si>
    <t>Symbol</t>
  </si>
  <si>
    <t>Volume</t>
  </si>
  <si>
    <t>20MICRONS.EQ-NSE</t>
  </si>
  <si>
    <t>3IINFOTECH.EQ-NSE</t>
  </si>
  <si>
    <t>3MINDIA.EQ-NSE</t>
  </si>
  <si>
    <t>8KMILES.EQ-NSE</t>
  </si>
  <si>
    <t>A2ZINFRA.EQ-NSE</t>
  </si>
  <si>
    <t>AARTIDRUGS.EQ-NSE</t>
  </si>
  <si>
    <t>AARTIIND.EQ-NSE</t>
  </si>
  <si>
    <t>AARVEEDEN.EQ-NSE</t>
  </si>
  <si>
    <t>ABAN.EQ-NSE</t>
  </si>
  <si>
    <t>ABB.EQ-NSE</t>
  </si>
  <si>
    <t>ABBOTINDIA.EQ-NSE</t>
  </si>
  <si>
    <t>ABCIL.EQ-NSE</t>
  </si>
  <si>
    <t>ABGSHIP.EQ-NSE</t>
  </si>
  <si>
    <t>ABIRLANUVO.EQ-NSE</t>
  </si>
  <si>
    <t>ACC.EQ-NSE</t>
  </si>
  <si>
    <t>ACCELYA.EQ-NSE</t>
  </si>
  <si>
    <t>ACE.EQ-NSE</t>
  </si>
  <si>
    <t>ACROPETAL.EQ-NSE</t>
  </si>
  <si>
    <t>ADANIENT.EQ-NSE</t>
  </si>
  <si>
    <t>ADANIPORTS.EQ-NSE</t>
  </si>
  <si>
    <t>ADANIPOWER.EQ-NSE</t>
  </si>
  <si>
    <t>ADFFOODS.EQ-NSE</t>
  </si>
  <si>
    <t>ADHUNIK.EQ-NSE</t>
  </si>
  <si>
    <t>ADI.EQ-NSE</t>
  </si>
  <si>
    <t>ADLABS.EQ-NSE</t>
  </si>
  <si>
    <t>ADORWELD.EQ-NSE</t>
  </si>
  <si>
    <t>ADSL.EQ-NSE</t>
  </si>
  <si>
    <t>ADVANIHOTR.EQ-NSE</t>
  </si>
  <si>
    <t>ADVANTA.EQ-NSE</t>
  </si>
  <si>
    <t>AEGISCHEM.EQ-NSE</t>
  </si>
  <si>
    <t>AFL.EQ-NSE</t>
  </si>
  <si>
    <t>AGARIND.EQ-NSE</t>
  </si>
  <si>
    <t>AGCNET.EQ-NSE</t>
  </si>
  <si>
    <t>AGRITECH.EQ-NSE</t>
  </si>
  <si>
    <t>AGRODUTCH.EQ-NSE</t>
  </si>
  <si>
    <t>AHLEAST.EQ-NSE</t>
  </si>
  <si>
    <t>AHLUCONT.EQ-NSE</t>
  </si>
  <si>
    <t>AHLWEST.EQ-NSE</t>
  </si>
  <si>
    <t>AIAENG.EQ-NSE</t>
  </si>
  <si>
    <t>AICHAMP.EQ-NSE</t>
  </si>
  <si>
    <t>AIL.EQ-NSE</t>
  </si>
  <si>
    <t>AJANTPHARM.EQ-NSE</t>
  </si>
  <si>
    <t>AJMERA.EQ-NSE</t>
  </si>
  <si>
    <t>AKSHOPTFBR.EQ-NSE</t>
  </si>
  <si>
    <t>AKZOINDIA.EQ-NSE</t>
  </si>
  <si>
    <t>ALANKIT.EQ-NSE</t>
  </si>
  <si>
    <t>ALBK.EQ-NSE</t>
  </si>
  <si>
    <t>ALCHEM.EQ-NSE</t>
  </si>
  <si>
    <t>ALEMBICLTD.EQ-NSE</t>
  </si>
  <si>
    <t>ALICON.EQ-NSE</t>
  </si>
  <si>
    <t>ALKALI.EQ-NSE</t>
  </si>
  <si>
    <t>ALKYLAMINE.EQ-NSE</t>
  </si>
  <si>
    <t>ALLCARGO.EQ-NSE</t>
  </si>
  <si>
    <t>ALLSEC.EQ-NSE</t>
  </si>
  <si>
    <t>ALMONDZ.EQ-NSE</t>
  </si>
  <si>
    <t>ALOKTEXT.EQ-NSE</t>
  </si>
  <si>
    <t>ALPA.EQ-NSE</t>
  </si>
  <si>
    <t>ALPHAGEO.EQ-NSE</t>
  </si>
  <si>
    <t>ALPSINDUS.EQ-NSE</t>
  </si>
  <si>
    <t>ALSTOMT&amp;D.EQ-NSE</t>
  </si>
  <si>
    <t>AMARAJABAT.EQ-NSE</t>
  </si>
  <si>
    <t>AMBIKCO.EQ-NSE</t>
  </si>
  <si>
    <t>AMBUJACEM.EQ-NSE</t>
  </si>
  <si>
    <t>AMDIND.EQ-NSE</t>
  </si>
  <si>
    <t>AMRUTANJAN.EQ-NSE</t>
  </si>
  <si>
    <t>AMTEKAUTO.EQ-NSE</t>
  </si>
  <si>
    <t>AMTL.EQ-NSE</t>
  </si>
  <si>
    <t>ANANTRAJ.EQ-NSE</t>
  </si>
  <si>
    <t>ANDHRABANK.EQ-NSE</t>
  </si>
  <si>
    <t>ANDHRACEMT.EQ-NSE</t>
  </si>
  <si>
    <t>ANDHRSUGAR.EQ-NSE</t>
  </si>
  <si>
    <t>ANGIND.EQ-NSE</t>
  </si>
  <si>
    <t>ANIKINDS.EQ-NSE</t>
  </si>
  <si>
    <t>ANKITMETAL.EQ-NSE</t>
  </si>
  <si>
    <t>ANSALAPI.EQ-NSE</t>
  </si>
  <si>
    <t>ANSALHSG.EQ-NSE</t>
  </si>
  <si>
    <t>ANTGRAPHIC.EQ-NSE</t>
  </si>
  <si>
    <t>APARINDS.EQ-NSE</t>
  </si>
  <si>
    <t>APCOTEXIND.EQ-NSE</t>
  </si>
  <si>
    <t>APLAPOLLO.EQ-NSE</t>
  </si>
  <si>
    <t>APLLTD.EQ-NSE</t>
  </si>
  <si>
    <t>APOLLOHOSP.EQ-NSE</t>
  </si>
  <si>
    <t>APOLLOTYRE.EQ-NSE</t>
  </si>
  <si>
    <t>APOLSINHOT.EQ-NSE</t>
  </si>
  <si>
    <t>APTECHT.EQ-NSE</t>
  </si>
  <si>
    <t>ARCHIDPLY.EQ-NSE</t>
  </si>
  <si>
    <t>ARCHIES.EQ-NSE</t>
  </si>
  <si>
    <t>ARCOTECH.EQ-NSE</t>
  </si>
  <si>
    <t>ARIES.EQ-NSE</t>
  </si>
  <si>
    <t>ARIHANT.EQ-NSE</t>
  </si>
  <si>
    <t>AROGRANITE.EQ-NSE</t>
  </si>
  <si>
    <t>ARROWCOAT.EQ-NSE</t>
  </si>
  <si>
    <t>ARROWTEX.EQ-NSE</t>
  </si>
  <si>
    <t>ARSHIYA.EQ-NSE</t>
  </si>
  <si>
    <t>ARSSINFRA.EQ-NSE</t>
  </si>
  <si>
    <t>ARVIND.EQ-NSE</t>
  </si>
  <si>
    <t>ARVINDREM.EQ-NSE</t>
  </si>
  <si>
    <t>ASAHIINDIA.EQ-NSE</t>
  </si>
  <si>
    <t>ASAHISONG.EQ-NSE</t>
  </si>
  <si>
    <t>ASAL.EQ-NSE</t>
  </si>
  <si>
    <t>ASHAPURMIN.EQ-NSE</t>
  </si>
  <si>
    <t>ASHIANA.EQ-NSE</t>
  </si>
  <si>
    <t>ASHIMASYN.EQ-NSE</t>
  </si>
  <si>
    <t>ASHOKA.EQ-NSE</t>
  </si>
  <si>
    <t>ASHOKLEY.EQ-NSE</t>
  </si>
  <si>
    <t>ASIANHOTNR.EQ-NSE</t>
  </si>
  <si>
    <t>ASIANPAINT.EQ-NSE</t>
  </si>
  <si>
    <t>ASIANTILES.EQ-NSE</t>
  </si>
  <si>
    <t>ASIL.EQ-NSE</t>
  </si>
  <si>
    <t>ASSAMCO.EQ-NSE</t>
  </si>
  <si>
    <t>ASTEC.EQ-NSE</t>
  </si>
  <si>
    <t>ASTRAL.EQ-NSE</t>
  </si>
  <si>
    <t>ASTRAMICRO.EQ-NSE</t>
  </si>
  <si>
    <t>ASTRAZEN.EQ-NSE</t>
  </si>
  <si>
    <t>ATFL.EQ-NSE</t>
  </si>
  <si>
    <t>ATLANTA.EQ-NSE</t>
  </si>
  <si>
    <t>ATLASCYCLE.EQ-NSE</t>
  </si>
  <si>
    <t>ATNINTER.EQ-NSE</t>
  </si>
  <si>
    <t>ATUL.EQ-NSE</t>
  </si>
  <si>
    <t>ATULAUTO.EQ-NSE</t>
  </si>
  <si>
    <t>AURIONPRO.EQ-NSE</t>
  </si>
  <si>
    <t>AUROPHARMA.EQ-NSE</t>
  </si>
  <si>
    <t>AUSOMENT.EQ-NSE</t>
  </si>
  <si>
    <t>AUSTRAL.EQ-NSE</t>
  </si>
  <si>
    <t>AUTOAXLES.EQ-NSE</t>
  </si>
  <si>
    <t>AUTOIND.EQ-NSE</t>
  </si>
  <si>
    <t>AUTOLITIND.EQ-NSE</t>
  </si>
  <si>
    <t>AVANTIFEED.EQ-NSE</t>
  </si>
  <si>
    <t>AVTNPL.EQ-NSE</t>
  </si>
  <si>
    <t>AXISBANK.EQ-NSE</t>
  </si>
  <si>
    <t>AXISCADES.EQ-NSE</t>
  </si>
  <si>
    <t>BAFNAPHARM.EQ-NSE</t>
  </si>
  <si>
    <t>BAGFILMS.EQ-NSE</t>
  </si>
  <si>
    <t>BAJAJ-AUTO.EQ-NSE</t>
  </si>
  <si>
    <t>BAJAJCORP.EQ-NSE</t>
  </si>
  <si>
    <t>BAJAJELEC.EQ-NSE</t>
  </si>
  <si>
    <t>BAJAJFINSV.EQ-NSE</t>
  </si>
  <si>
    <t>BAJAJHIND.EQ-NSE</t>
  </si>
  <si>
    <t>BAJAJHLDNG.EQ-NSE</t>
  </si>
  <si>
    <t>BAJFINANCE.EQ-NSE</t>
  </si>
  <si>
    <t>BALAJITELE.EQ-NSE</t>
  </si>
  <si>
    <t>BALAMINES.EQ-NSE</t>
  </si>
  <si>
    <t>BALKRISIND.EQ-NSE</t>
  </si>
  <si>
    <t>BALLARPUR.EQ-NSE</t>
  </si>
  <si>
    <t>BALMLAWRIE.EQ-NSE</t>
  </si>
  <si>
    <t>BALPHARMA.EQ-NSE</t>
  </si>
  <si>
    <t>BALRAMCHIN.EQ-NSE</t>
  </si>
  <si>
    <t>BANARBEADS.EQ-NSE</t>
  </si>
  <si>
    <t>BANARISUG.EQ-NSE</t>
  </si>
  <si>
    <t>BANCOINDIA.EQ-NSE</t>
  </si>
  <si>
    <t>BANG.EQ-NSE</t>
  </si>
  <si>
    <t>BANKBARODA.EQ-NSE</t>
  </si>
  <si>
    <t>BANKINDIA.EQ-NSE</t>
  </si>
  <si>
    <t>BANSWRAS.EQ-NSE</t>
  </si>
  <si>
    <t>BARTRONICS.EQ-NSE</t>
  </si>
  <si>
    <t>BASF.EQ-NSE</t>
  </si>
  <si>
    <t>BASML.EQ-NSE</t>
  </si>
  <si>
    <t>BATAINDIA.EQ-NSE</t>
  </si>
  <si>
    <t>BAYERCROP.EQ-NSE</t>
  </si>
  <si>
    <t>BBL.EQ-NSE</t>
  </si>
  <si>
    <t>BBTC.EQ-NSE</t>
  </si>
  <si>
    <t>BEARDSELL.EQ-NSE</t>
  </si>
  <si>
    <t>BEDMUTHA.EQ-NSE</t>
  </si>
  <si>
    <t>BEL.EQ-NSE</t>
  </si>
  <si>
    <t>BEML.EQ-NSE</t>
  </si>
  <si>
    <t>BEPL.EQ-NSE</t>
  </si>
  <si>
    <t>BERGEPAINT.EQ-NSE</t>
  </si>
  <si>
    <t>BFINVEST.EQ-NSE</t>
  </si>
  <si>
    <t>BFUTILITIE.EQ-NSE</t>
  </si>
  <si>
    <t>BGLOBAL.EQ-NSE</t>
  </si>
  <si>
    <t>BGRENERGY.EQ-NSE</t>
  </si>
  <si>
    <t>BHAGYNAGAR.EQ-NSE</t>
  </si>
  <si>
    <t>BHARATFORG.EQ-NSE</t>
  </si>
  <si>
    <t>BHARATGEAR.EQ-NSE</t>
  </si>
  <si>
    <t>BHARATRAS.EQ-NSE</t>
  </si>
  <si>
    <t>BHARTIARTL.EQ-NSE</t>
  </si>
  <si>
    <t>BHEL.EQ-NSE</t>
  </si>
  <si>
    <t>BHUSANSTL.EQ-NSE</t>
  </si>
  <si>
    <t>BIL.EQ-NSE</t>
  </si>
  <si>
    <t>BILENERGY.EQ-NSE</t>
  </si>
  <si>
    <t>BILPOWER.EQ-NSE</t>
  </si>
  <si>
    <t>BINANIIND.EQ-NSE</t>
  </si>
  <si>
    <t>BINDALAGRO.EQ-NSE</t>
  </si>
  <si>
    <t>BIOCON.EQ-NSE</t>
  </si>
  <si>
    <t>BIRLACORPN.EQ-NSE</t>
  </si>
  <si>
    <t>BIRLACOT.EQ-NSE</t>
  </si>
  <si>
    <t>BIRLAERIC.EQ-NSE</t>
  </si>
  <si>
    <t>BIRLAMONEY.EQ-NSE</t>
  </si>
  <si>
    <t>BLBLIMITED.EQ-NSE</t>
  </si>
  <si>
    <t>BLISSGVS.EQ-NSE</t>
  </si>
  <si>
    <t>BLKASHYAP.EQ-NSE</t>
  </si>
  <si>
    <t>BLUEBLENDS.EQ-NSE</t>
  </si>
  <si>
    <t>BLUECHIP.EQ-NSE</t>
  </si>
  <si>
    <t>BLUECOAST.EQ-NSE</t>
  </si>
  <si>
    <t>BLUEDART.EQ-NSE</t>
  </si>
  <si>
    <t>BLUESTARCO.EQ-NSE</t>
  </si>
  <si>
    <t>BLUESTINFO.EQ-NSE</t>
  </si>
  <si>
    <t>BODALCHEM.EQ-NSE</t>
  </si>
  <si>
    <t>BOMDYEING.EQ-NSE</t>
  </si>
  <si>
    <t>BOSCHLTD.EQ-NSE</t>
  </si>
  <si>
    <t>BPCL.EQ-NSE</t>
  </si>
  <si>
    <t>BPL.EQ-NSE</t>
  </si>
  <si>
    <t>BRFL.EQ-NSE</t>
  </si>
  <si>
    <t>BRIGADE.EQ-NSE</t>
  </si>
  <si>
    <t>BRITANNIA.EQ-NSE</t>
  </si>
  <si>
    <t>BROADCAST.EQ-NSE</t>
  </si>
  <si>
    <t>BROOKS.EQ-NSE</t>
  </si>
  <si>
    <t>BSELINFRA.EQ-NSE</t>
  </si>
  <si>
    <t>BSL.EQ-NSE</t>
  </si>
  <si>
    <t>BSLIMITED.EQ-NSE</t>
  </si>
  <si>
    <t>BURNPUR.EQ-NSE</t>
  </si>
  <si>
    <t>BUTTERFLY.EQ-NSE</t>
  </si>
  <si>
    <t>BVCL.EQ-NSE</t>
  </si>
  <si>
    <t>BYKE.EQ-NSE</t>
  </si>
  <si>
    <t>CADILAHC.EQ-NSE</t>
  </si>
  <si>
    <t>CAIRN.EQ-NSE</t>
  </si>
  <si>
    <t>CALSOFT.EQ-NSE</t>
  </si>
  <si>
    <t>CAMLINFINE.EQ-NSE</t>
  </si>
  <si>
    <t>CANBK.EQ-NSE</t>
  </si>
  <si>
    <t>CANDC.EQ-NSE</t>
  </si>
  <si>
    <t>CANFINHOME.EQ-NSE</t>
  </si>
  <si>
    <t>CANTABIL.EQ-NSE</t>
  </si>
  <si>
    <t>CAPF.EQ-NSE</t>
  </si>
  <si>
    <t>CAPLIPOINT.EQ-NSE</t>
  </si>
  <si>
    <t>CARBORUNIV.EQ-NSE</t>
  </si>
  <si>
    <t>CAREERP.EQ-NSE</t>
  </si>
  <si>
    <t>CARERATING.EQ-NSE</t>
  </si>
  <si>
    <t>CASTEXTECH.EQ-NSE</t>
  </si>
  <si>
    <t>CASTROLIND.EQ-NSE</t>
  </si>
  <si>
    <t>CCCL.EQ-NSE</t>
  </si>
  <si>
    <t>CCHHL.EQ-NSE</t>
  </si>
  <si>
    <t>CCL.EQ-NSE</t>
  </si>
  <si>
    <t>CEATLTD.EQ-NSE</t>
  </si>
  <si>
    <t>CEBBCO.EQ-NSE</t>
  </si>
  <si>
    <t>CELEBRITY.EQ-NSE</t>
  </si>
  <si>
    <t>CELESTIAL.EQ-NSE</t>
  </si>
  <si>
    <t>CENTENKA.EQ-NSE</t>
  </si>
  <si>
    <t>CENTEXT.EQ-NSE</t>
  </si>
  <si>
    <t>CENTRALBK.EQ-NSE</t>
  </si>
  <si>
    <t>CENTUM.EQ-NSE</t>
  </si>
  <si>
    <t>CENTURYPLY.EQ-NSE</t>
  </si>
  <si>
    <t>CENTURYTEX.EQ-NSE</t>
  </si>
  <si>
    <t>CERA.EQ-NSE</t>
  </si>
  <si>
    <t>CEREBRAINT.EQ-NSE</t>
  </si>
  <si>
    <t>CESC.EQ-NSE</t>
  </si>
  <si>
    <t>CGCL.EQ-NSE</t>
  </si>
  <si>
    <t>CHAMBLFERT.EQ-NSE</t>
  </si>
  <si>
    <t>CHEMFALKAL.EQ-NSE</t>
  </si>
  <si>
    <t>CHENNPETRO.EQ-NSE</t>
  </si>
  <si>
    <t>CHOLAFIN.EQ-NSE</t>
  </si>
  <si>
    <t>CHROMATIC.EQ-NSE</t>
  </si>
  <si>
    <t>CIGNITITEC.EQ-NSE</t>
  </si>
  <si>
    <t>CIMMCO.EQ-NSE</t>
  </si>
  <si>
    <t>CINELINE.EQ-NSE</t>
  </si>
  <si>
    <t>CINEVISTA.EQ-NSE</t>
  </si>
  <si>
    <t>CIPLA.EQ-NSE</t>
  </si>
  <si>
    <t>CLASSIC.EQ-NSE</t>
  </si>
  <si>
    <t>CLNINDIA.EQ-NSE</t>
  </si>
  <si>
    <t>CLUTCHAUTO.EQ-NSE</t>
  </si>
  <si>
    <t>CMAHENDRA.EQ-NSE</t>
  </si>
  <si>
    <t>CMC.EQ-NSE</t>
  </si>
  <si>
    <t>CNOVAPETRO.EQ-NSE</t>
  </si>
  <si>
    <t>COALINDIA.EQ-NSE</t>
  </si>
  <si>
    <t>COLPAL.EQ-NSE</t>
  </si>
  <si>
    <t>COMPUSOFT.EQ-NSE</t>
  </si>
  <si>
    <t>CONCOR.EQ-NSE</t>
  </si>
  <si>
    <t>CONSOFINVT.EQ-NSE</t>
  </si>
  <si>
    <t>CORDSCABLE.EQ-NSE</t>
  </si>
  <si>
    <t>COREEDUTEC.EQ-NSE</t>
  </si>
  <si>
    <t>COROMANDEL.EQ-NSE</t>
  </si>
  <si>
    <t>CORPBANK.EQ-NSE</t>
  </si>
  <si>
    <t>COSMOFILMS.EQ-NSE</t>
  </si>
  <si>
    <t>COUNCODOS.EQ-NSE</t>
  </si>
  <si>
    <t>COX&amp;KINGS.EQ-NSE</t>
  </si>
  <si>
    <t>CREATIVEYE.EQ-NSE</t>
  </si>
  <si>
    <t>CREST.EQ-NSE</t>
  </si>
  <si>
    <t>CRISIL.EQ-NSE</t>
  </si>
  <si>
    <t>CROMPGREAV.EQ-NSE</t>
  </si>
  <si>
    <t>CTE.EQ-NSE</t>
  </si>
  <si>
    <t>CUB.EQ-NSE</t>
  </si>
  <si>
    <t>CUBEXTUB.EQ-NSE</t>
  </si>
  <si>
    <t>CUMMINSIND.EQ-NSE</t>
  </si>
  <si>
    <t>CURATECH.EQ-NSE</t>
  </si>
  <si>
    <t>CYBERMEDIA.EQ-NSE</t>
  </si>
  <si>
    <t>CYBERTECH.EQ-NSE</t>
  </si>
  <si>
    <t>CYIENT.EQ-NSE</t>
  </si>
  <si>
    <t>DAAWAT.EQ-NSE</t>
  </si>
  <si>
    <t>DABUR.EQ-NSE</t>
  </si>
  <si>
    <t>DALMIABHA.EQ-NSE</t>
  </si>
  <si>
    <t>DALMIASUG.EQ-NSE</t>
  </si>
  <si>
    <t>DATAMATICS.EQ-NSE</t>
  </si>
  <si>
    <t>DBCORP.EQ-NSE</t>
  </si>
  <si>
    <t>DBREALTY.EQ-NSE</t>
  </si>
  <si>
    <t>DBSTOCKBRO.EQ-NSE</t>
  </si>
  <si>
    <t>DCBBANK.EQ-NSE</t>
  </si>
  <si>
    <t>DCM.EQ-NSE</t>
  </si>
  <si>
    <t>DCMSHRIRAM.EQ-NSE</t>
  </si>
  <si>
    <t>DCW.EQ-NSE</t>
  </si>
  <si>
    <t>DECCANCE.EQ-NSE</t>
  </si>
  <si>
    <t>DEEPAKFERT.EQ-NSE</t>
  </si>
  <si>
    <t>DEEPAKNTR.EQ-NSE</t>
  </si>
  <si>
    <t>DEEPIND.EQ-NSE</t>
  </si>
  <si>
    <t>DELTACORP.EQ-NSE</t>
  </si>
  <si>
    <t>DELTAMAGNT.EQ-NSE</t>
  </si>
  <si>
    <t>DEN.EQ-NSE</t>
  </si>
  <si>
    <t>DENABANK.EQ-NSE</t>
  </si>
  <si>
    <t>DENORA.EQ-NSE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</si>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</sst>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\ h:mm;@"/>
    <numFmt numFmtId="165" formatCode="hh:mm:ss"/>
  </numFmts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5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504"/>
  <sheetViews>
    <sheetView tabSelected="1" workbookViewId="0"/>
  </sheetViews>
  <sheetFormatPr defaultColWidth="0" defaultRowHeight="15" zeroHeight="1" x14ac:dyDescent="0.25"/>
  <cols>
    <col min="1" max="1" width="30.7109375" customWidth="1"/>
    <col min="2" max="3" width="9.140625" customWidth="1"/>
    <col min="4" max="4" width="12.85546875" customWidth="1"/>
    <col min="5" max="5" width="19.140625" customWidth="1"/>
    <col min="6" max="9" width="9.140625" customWidth="1"/>
    <col min="10" max="10" width="21" style="3" customWidth="1"/>
    <col min="11" max="15" width="9.140625" customWidth="1"/>
    <col min="16" max="16384" width="9.140625" hidden="1"/>
  </cols>
  <sheetData>
    <row r="1" spans="1:15" x14ac:dyDescent="0.25">
      <c r="A1" t="s">
        <v>321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x14ac:dyDescent="0.25">
      <c r="A2" s="1" t="s">
        <v>14</v>
      </c>
      <c r="B2" s="2" t="e">
        <f ca="1">_xll.ESQuote("20MICRONS.EQ-NSE","% Change")</f>
        <v>#NAME?</v>
      </c>
      <c r="C2" s="2" t="e">
        <f ca="1">_xll.ESQuote("20MICRONS.EQ-NSE","Change")</f>
        <v>#NAME?</v>
      </c>
      <c r="D2" s="2" t="e">
        <f ca="1">_xll.ESQuote("20MICRONS.EQ-NSE","Close")</f>
        <v>#NAME?</v>
      </c>
      <c r="E2" s="2" t="e">
        <f ca="1">_xll.ESQuote("20MICRONS.EQ-NSE","Company")</f>
        <v>#NAME?</v>
      </c>
      <c r="F2" s="2" t="e">
        <f ca="1">_xll.ESQuote("20MICRONS.EQ-NSE","Description")</f>
        <v>#NAME?</v>
      </c>
      <c r="G2" s="2" t="e">
        <f ca="1">_xll.ESQuote("20MICRONS.EQ-NSE","Exchange")</f>
        <v>#NAME?</v>
      </c>
      <c r="H2" s="2" t="e">
        <f ca="1">_xll.ESQuote("20MICRONS.EQ-NSE","High")</f>
        <v>#NAME?</v>
      </c>
      <c r="I2" s="2" t="e">
        <f ca="1">_xll.ESQuote("20MICRONS.EQ-NSE","Last")</f>
        <v>#NAME?</v>
      </c>
      <c r="J2" s="4" t="e">
        <f ca="1">_xll.ESQuote("20MICRONS.EQ-NSE","Last_Time")</f>
        <v>#NAME?</v>
      </c>
      <c r="K2" s="2" t="e">
        <f ca="1">_xll.ESQuote("20MICRONS.EQ-NSE","Low")</f>
        <v>#NAME?</v>
      </c>
      <c r="L2" s="2" t="e">
        <f ca="1">_xll.ESQuote("20MICRONS.EQ-NSE","Open")</f>
        <v>#NAME?</v>
      </c>
      <c r="M2" s="2" t="e">
        <f ca="1">_xll.ESQuote("20MICRONS.EQ-NSE","PrevPrice")</f>
        <v>#NAME?</v>
      </c>
      <c r="N2" s="2" t="e">
        <f ca="1">_xll.ESQuote("20MICRONS.EQ-NSE","Symbol")</f>
        <v>#NAME?</v>
      </c>
      <c r="O2" s="2" t="e">
        <f ca="1">_xll.ESQuote("20MICRONS.EQ-NSE","Volume")</f>
        <v>#NAME?</v>
      </c>
    </row>
    <row r="3" spans="1:15" x14ac:dyDescent="0.25">
      <c r="A3" s="1" t="s">
        <v>15</v>
      </c>
      <c r="B3" s="2" t="e">
        <f ca="1">_xll.ESQuote("3IINFOTECH.EQ-NSE","% Change")</f>
        <v>#NAME?</v>
      </c>
      <c r="C3" s="2" t="e">
        <f ca="1">_xll.ESQuote("3IINFOTECH.EQ-NSE","Change")</f>
        <v>#NAME?</v>
      </c>
      <c r="D3" s="2" t="e">
        <f ca="1">_xll.ESQuote("3IINFOTECH.EQ-NSE","Close")</f>
        <v>#NAME?</v>
      </c>
      <c r="E3" s="2" t="e">
        <f ca="1">_xll.ESQuote("3IINFOTECH.EQ-NSE","Company")</f>
        <v>#NAME?</v>
      </c>
      <c r="F3" s="2" t="e">
        <f ca="1">_xll.ESQuote("3IINFOTECH.EQ-NSE","Description")</f>
        <v>#NAME?</v>
      </c>
      <c r="G3" s="2" t="e">
        <f ca="1">_xll.ESQuote("3IINFOTECH.EQ-NSE","Exchange")</f>
        <v>#NAME?</v>
      </c>
      <c r="H3" s="2" t="e">
        <f ca="1">_xll.ESQuote("3IINFOTECH.EQ-NSE","High")</f>
        <v>#NAME?</v>
      </c>
      <c r="I3" s="2" t="e">
        <f ca="1">_xll.ESQuote("3IINFOTECH.EQ-NSE","Last")</f>
        <v>#NAME?</v>
      </c>
      <c r="J3" s="4" t="e">
        <f ca="1">_xll.ESQuote("3IINFOTECH.EQ-NSE","Last_Time")</f>
        <v>#NAME?</v>
      </c>
      <c r="K3" s="2" t="e">
        <f ca="1">_xll.ESQuote("3IINFOTECH.EQ-NSE","Low")</f>
        <v>#NAME?</v>
      </c>
      <c r="L3" s="2" t="e">
        <f ca="1">_xll.ESQuote("3IINFOTECH.EQ-NSE","Open")</f>
        <v>#NAME?</v>
      </c>
      <c r="M3" s="2" t="e">
        <f ca="1">_xll.ESQuote("3IINFOTECH.EQ-NSE","PrevPrice")</f>
        <v>#NAME?</v>
      </c>
      <c r="N3" s="2" t="e">
        <f ca="1">_xll.ESQuote("3IINFOTECH.EQ-NSE","Symbol")</f>
        <v>#NAME?</v>
      </c>
      <c r="O3" s="2" t="e">
        <f ca="1">_xll.ESQuote("3IINFOTECH.EQ-NSE","Volume")</f>
        <v>#NAME?</v>
      </c>
    </row>
    <row r="4" spans="1:15" x14ac:dyDescent="0.25">
      <c r="A4" s="1" t="s">
        <v>16</v>
      </c>
      <c r="B4" s="2" t="e">
        <f ca="1">_xll.ESQuote("3MINDIA.EQ-NSE","% Change")</f>
        <v>#NAME?</v>
      </c>
      <c r="C4" s="2" t="e">
        <f ca="1">_xll.ESQuote("3MINDIA.EQ-NSE","Change")</f>
        <v>#NAME?</v>
      </c>
      <c r="D4" s="2" t="e">
        <f ca="1">_xll.ESQuote("3MINDIA.EQ-NSE","Close")</f>
        <v>#NAME?</v>
      </c>
      <c r="E4" s="2" t="e">
        <f ca="1">_xll.ESQuote("3MINDIA.EQ-NSE","Company")</f>
        <v>#NAME?</v>
      </c>
      <c r="F4" s="2" t="e">
        <f ca="1">_xll.ESQuote("3MINDIA.EQ-NSE","Description")</f>
        <v>#NAME?</v>
      </c>
      <c r="G4" s="2" t="e">
        <f ca="1">_xll.ESQuote("3MINDIA.EQ-NSE","Exchange")</f>
        <v>#NAME?</v>
      </c>
      <c r="H4" s="2" t="e">
        <f ca="1">_xll.ESQuote("3MINDIA.EQ-NSE","High")</f>
        <v>#NAME?</v>
      </c>
      <c r="I4" s="2" t="e">
        <f ca="1">_xll.ESQuote("3MINDIA.EQ-NSE","Last")</f>
        <v>#NAME?</v>
      </c>
      <c r="J4" s="4" t="e">
        <f ca="1">_xll.ESQuote("3MINDIA.EQ-NSE","Last_Time")</f>
        <v>#NAME?</v>
      </c>
      <c r="K4" s="2" t="e">
        <f ca="1">_xll.ESQuote("3MINDIA.EQ-NSE","Low")</f>
        <v>#NAME?</v>
      </c>
      <c r="L4" s="2" t="e">
        <f ca="1">_xll.ESQuote("3MINDIA.EQ-NSE","Open")</f>
        <v>#NAME?</v>
      </c>
      <c r="M4" s="2" t="e">
        <f ca="1">_xll.ESQuote("3MINDIA.EQ-NSE","PrevPrice")</f>
        <v>#NAME?</v>
      </c>
      <c r="N4" s="2" t="e">
        <f ca="1">_xll.ESQuote("3MINDIA.EQ-NSE","Symbol")</f>
        <v>#NAME?</v>
      </c>
      <c r="O4" s="2" t="e">
        <f ca="1">_xll.ESQuote("3MINDIA.EQ-NSE","Volume")</f>
        <v>#NAME?</v>
      </c>
    </row>
    <row r="5" spans="1:15" x14ac:dyDescent="0.25">
      <c r="A5" s="1" t="s">
        <v>17</v>
      </c>
      <c r="B5" s="2" t="e">
        <f ca="1">_xll.ESQuote("8KMILES.EQ-NSE","% Change")</f>
        <v>#NAME?</v>
      </c>
      <c r="C5" s="2" t="e">
        <f ca="1">_xll.ESQuote("8KMILES.EQ-NSE","Change")</f>
        <v>#NAME?</v>
      </c>
      <c r="D5" s="2" t="e">
        <f ca="1">_xll.ESQuote("8KMILES.EQ-NSE","Close")</f>
        <v>#NAME?</v>
      </c>
      <c r="E5" s="2" t="e">
        <f ca="1">_xll.ESQuote("8KMILES.EQ-NSE","Company")</f>
        <v>#NAME?</v>
      </c>
      <c r="F5" s="2" t="e">
        <f ca="1">_xll.ESQuote("8KMILES.EQ-NSE","Description")</f>
        <v>#NAME?</v>
      </c>
      <c r="G5" s="2" t="e">
        <f ca="1">_xll.ESQuote("8KMILES.EQ-NSE","Exchange")</f>
        <v>#NAME?</v>
      </c>
      <c r="H5" s="2" t="e">
        <f ca="1">_xll.ESQuote("8KMILES.EQ-NSE","High")</f>
        <v>#NAME?</v>
      </c>
      <c r="I5" s="2" t="e">
        <f ca="1">_xll.ESQuote("8KMILES.EQ-NSE","Last")</f>
        <v>#NAME?</v>
      </c>
      <c r="J5" s="4" t="e">
        <f ca="1">_xll.ESQuote("8KMILES.EQ-NSE","Last_Time")</f>
        <v>#NAME?</v>
      </c>
      <c r="K5" s="2" t="e">
        <f ca="1">_xll.ESQuote("8KMILES.EQ-NSE","Low")</f>
        <v>#NAME?</v>
      </c>
      <c r="L5" s="2" t="e">
        <f ca="1">_xll.ESQuote("8KMILES.EQ-NSE","Open")</f>
        <v>#NAME?</v>
      </c>
      <c r="M5" s="2" t="e">
        <f ca="1">_xll.ESQuote("8KMILES.EQ-NSE","PrevPrice")</f>
        <v>#NAME?</v>
      </c>
      <c r="N5" s="2" t="e">
        <f ca="1">_xll.ESQuote("8KMILES.EQ-NSE","Symbol")</f>
        <v>#NAME?</v>
      </c>
      <c r="O5" s="2" t="e">
        <f ca="1">_xll.ESQuote("8KMILES.EQ-NSE","Volume")</f>
        <v>#NAME?</v>
      </c>
    </row>
    <row r="6" spans="1:15" x14ac:dyDescent="0.25">
      <c r="A6" s="1" t="s">
        <v>18</v>
      </c>
      <c r="B6" s="2" t="e">
        <f ca="1">_xll.ESQuote("A2ZINFRA.EQ-NSE","% Change")</f>
        <v>#NAME?</v>
      </c>
      <c r="C6" s="2" t="e">
        <f ca="1">_xll.ESQuote("A2ZINFRA.EQ-NSE","Change")</f>
        <v>#NAME?</v>
      </c>
      <c r="D6" s="2" t="e">
        <f ca="1">_xll.ESQuote("A2ZINFRA.EQ-NSE","Close")</f>
        <v>#NAME?</v>
      </c>
      <c r="E6" s="2" t="e">
        <f ca="1">_xll.ESQuote("A2ZINFRA.EQ-NSE","Company")</f>
        <v>#NAME?</v>
      </c>
      <c r="F6" s="2" t="e">
        <f ca="1">_xll.ESQuote("A2ZINFRA.EQ-NSE","Description")</f>
        <v>#NAME?</v>
      </c>
      <c r="G6" s="2" t="e">
        <f ca="1">_xll.ESQuote("A2ZINFRA.EQ-NSE","Exchange")</f>
        <v>#NAME?</v>
      </c>
      <c r="H6" s="2" t="e">
        <f ca="1">_xll.ESQuote("A2ZINFRA.EQ-NSE","High")</f>
        <v>#NAME?</v>
      </c>
      <c r="I6" s="2" t="e">
        <f ca="1">_xll.ESQuote("A2ZINFRA.EQ-NSE","Last")</f>
        <v>#NAME?</v>
      </c>
      <c r="J6" s="4" t="e">
        <f ca="1">_xll.ESQuote("A2ZINFRA.EQ-NSE","Last_Time")</f>
        <v>#NAME?</v>
      </c>
      <c r="K6" s="2" t="e">
        <f ca="1">_xll.ESQuote("A2ZINFRA.EQ-NSE","Low")</f>
        <v>#NAME?</v>
      </c>
      <c r="L6" s="2" t="e">
        <f ca="1">_xll.ESQuote("A2ZINFRA.EQ-NSE","Open")</f>
        <v>#NAME?</v>
      </c>
      <c r="M6" s="2" t="e">
        <f ca="1">_xll.ESQuote("A2ZINFRA.EQ-NSE","PrevPrice")</f>
        <v>#NAME?</v>
      </c>
      <c r="N6" s="2" t="e">
        <f ca="1">_xll.ESQuote("A2ZINFRA.EQ-NSE","Symbol")</f>
        <v>#NAME?</v>
      </c>
      <c r="O6" s="2" t="e">
        <f ca="1">_xll.ESQuote("A2ZINFRA.EQ-NSE","Volume")</f>
        <v>#NAME?</v>
      </c>
    </row>
    <row r="7" spans="1:15" x14ac:dyDescent="0.25">
      <c r="A7" s="1" t="s">
        <v>19</v>
      </c>
      <c r="B7" s="2" t="e">
        <f ca="1">_xll.ESQuote("AARTIDRUGS.EQ-NSE","% Change")</f>
        <v>#NAME?</v>
      </c>
      <c r="C7" s="2" t="e">
        <f ca="1">_xll.ESQuote("AARTIDRUGS.EQ-NSE","Change")</f>
        <v>#NAME?</v>
      </c>
      <c r="D7" s="2" t="e">
        <f ca="1">_xll.ESQuote("AARTIDRUGS.EQ-NSE","Close")</f>
        <v>#NAME?</v>
      </c>
      <c r="E7" s="2" t="e">
        <f ca="1">_xll.ESQuote("AARTIDRUGS.EQ-NSE","Company")</f>
        <v>#NAME?</v>
      </c>
      <c r="F7" s="2" t="e">
        <f ca="1">_xll.ESQuote("AARTIDRUGS.EQ-NSE","Description")</f>
        <v>#NAME?</v>
      </c>
      <c r="G7" s="2" t="e">
        <f ca="1">_xll.ESQuote("AARTIDRUGS.EQ-NSE","Exchange")</f>
        <v>#NAME?</v>
      </c>
      <c r="H7" s="2" t="e">
        <f ca="1">_xll.ESQuote("AARTIDRUGS.EQ-NSE","High")</f>
        <v>#NAME?</v>
      </c>
      <c r="I7" s="2" t="e">
        <f ca="1">_xll.ESQuote("AARTIDRUGS.EQ-NSE","Last")</f>
        <v>#NAME?</v>
      </c>
      <c r="J7" s="4" t="e">
        <f ca="1">_xll.ESQuote("AARTIDRUGS.EQ-NSE","Last_Time")</f>
        <v>#NAME?</v>
      </c>
      <c r="K7" s="2" t="e">
        <f ca="1">_xll.ESQuote("AARTIDRUGS.EQ-NSE","Low")</f>
        <v>#NAME?</v>
      </c>
      <c r="L7" s="2" t="e">
        <f ca="1">_xll.ESQuote("AARTIDRUGS.EQ-NSE","Open")</f>
        <v>#NAME?</v>
      </c>
      <c r="M7" s="2" t="e">
        <f ca="1">_xll.ESQuote("AARTIDRUGS.EQ-NSE","PrevPrice")</f>
        <v>#NAME?</v>
      </c>
      <c r="N7" s="2" t="e">
        <f ca="1">_xll.ESQuote("AARTIDRUGS.EQ-NSE","Symbol")</f>
        <v>#NAME?</v>
      </c>
      <c r="O7" s="2" t="e">
        <f ca="1">_xll.ESQuote("AARTIDRUGS.EQ-NSE","Volume")</f>
        <v>#NAME?</v>
      </c>
    </row>
    <row r="8" spans="1:15" x14ac:dyDescent="0.25">
      <c r="A8" s="1" t="s">
        <v>20</v>
      </c>
      <c r="B8" s="2" t="e">
        <f ca="1">_xll.ESQuote("AARTIIND.EQ-NSE","% Change")</f>
        <v>#NAME?</v>
      </c>
      <c r="C8" s="2" t="e">
        <f ca="1">_xll.ESQuote("AARTIIND.EQ-NSE","Change")</f>
        <v>#NAME?</v>
      </c>
      <c r="D8" s="2" t="e">
        <f ca="1">_xll.ESQuote("AARTIIND.EQ-NSE","Close")</f>
        <v>#NAME?</v>
      </c>
      <c r="E8" s="2" t="e">
        <f ca="1">_xll.ESQuote("AARTIIND.EQ-NSE","Company")</f>
        <v>#NAME?</v>
      </c>
      <c r="F8" s="2" t="e">
        <f ca="1">_xll.ESQuote("AARTIIND.EQ-NSE","Description")</f>
        <v>#NAME?</v>
      </c>
      <c r="G8" s="2" t="e">
        <f ca="1">_xll.ESQuote("AARTIIND.EQ-NSE","Exchange")</f>
        <v>#NAME?</v>
      </c>
      <c r="H8" s="2" t="e">
        <f ca="1">_xll.ESQuote("AARTIIND.EQ-NSE","High")</f>
        <v>#NAME?</v>
      </c>
      <c r="I8" s="2" t="e">
        <f ca="1">_xll.ESQuote("AARTIIND.EQ-NSE","Last")</f>
        <v>#NAME?</v>
      </c>
      <c r="J8" s="4" t="e">
        <f ca="1">_xll.ESQuote("AARTIIND.EQ-NSE","Last_Time")</f>
        <v>#NAME?</v>
      </c>
      <c r="K8" s="2" t="e">
        <f ca="1">_xll.ESQuote("AARTIIND.EQ-NSE","Low")</f>
        <v>#NAME?</v>
      </c>
      <c r="L8" s="2" t="e">
        <f ca="1">_xll.ESQuote("AARTIIND.EQ-NSE","Open")</f>
        <v>#NAME?</v>
      </c>
      <c r="M8" s="2" t="e">
        <f ca="1">_xll.ESQuote("AARTIIND.EQ-NSE","PrevPrice")</f>
        <v>#NAME?</v>
      </c>
      <c r="N8" s="2" t="e">
        <f ca="1">_xll.ESQuote("AARTIIND.EQ-NSE","Symbol")</f>
        <v>#NAME?</v>
      </c>
      <c r="O8" s="2" t="e">
        <f ca="1">_xll.ESQuote("AARTIIND.EQ-NSE","Volume")</f>
        <v>#NAME?</v>
      </c>
    </row>
    <row r="9" spans="1:15" x14ac:dyDescent="0.25">
      <c r="A9" s="1" t="s">
        <v>21</v>
      </c>
      <c r="B9" s="2" t="e">
        <f ca="1">_xll.ESQuote("AARVEEDEN.EQ-NSE","% Change")</f>
        <v>#NAME?</v>
      </c>
      <c r="C9" s="2" t="e">
        <f ca="1">_xll.ESQuote("AARVEEDEN.EQ-NSE","Change")</f>
        <v>#NAME?</v>
      </c>
      <c r="D9" s="2" t="e">
        <f ca="1">_xll.ESQuote("AARVEEDEN.EQ-NSE","Close")</f>
        <v>#NAME?</v>
      </c>
      <c r="E9" s="2" t="e">
        <f ca="1">_xll.ESQuote("AARVEEDEN.EQ-NSE","Company")</f>
        <v>#NAME?</v>
      </c>
      <c r="F9" s="2" t="e">
        <f ca="1">_xll.ESQuote("AARVEEDEN.EQ-NSE","Description")</f>
        <v>#NAME?</v>
      </c>
      <c r="G9" s="2" t="e">
        <f ca="1">_xll.ESQuote("AARVEEDEN.EQ-NSE","Exchange")</f>
        <v>#NAME?</v>
      </c>
      <c r="H9" s="2" t="e">
        <f ca="1">_xll.ESQuote("AARVEEDEN.EQ-NSE","High")</f>
        <v>#NAME?</v>
      </c>
      <c r="I9" s="2" t="e">
        <f ca="1">_xll.ESQuote("AARVEEDEN.EQ-NSE","Last")</f>
        <v>#NAME?</v>
      </c>
      <c r="J9" s="4" t="e">
        <f ca="1">_xll.ESQuote("AARVEEDEN.EQ-NSE","Last_Time")</f>
        <v>#NAME?</v>
      </c>
      <c r="K9" s="2" t="e">
        <f ca="1">_xll.ESQuote("AARVEEDEN.EQ-NSE","Low")</f>
        <v>#NAME?</v>
      </c>
      <c r="L9" s="2" t="e">
        <f ca="1">_xll.ESQuote("AARVEEDEN.EQ-NSE","Open")</f>
        <v>#NAME?</v>
      </c>
      <c r="M9" s="2" t="e">
        <f ca="1">_xll.ESQuote("AARVEEDEN.EQ-NSE","PrevPrice")</f>
        <v>#NAME?</v>
      </c>
      <c r="N9" s="2" t="e">
        <f ca="1">_xll.ESQuote("AARVEEDEN.EQ-NSE","Symbol")</f>
        <v>#NAME?</v>
      </c>
      <c r="O9" s="2" t="e">
        <f ca="1">_xll.ESQuote("AARVEEDEN.EQ-NSE","Volume")</f>
        <v>#NAME?</v>
      </c>
    </row>
    <row r="10" spans="1:15" x14ac:dyDescent="0.25">
      <c r="A10" s="1" t="s">
        <v>22</v>
      </c>
      <c r="B10" s="2" t="e">
        <f ca="1">_xll.ESQuote("ABAN.EQ-NSE","% Change")</f>
        <v>#NAME?</v>
      </c>
      <c r="C10" s="2" t="e">
        <f ca="1">_xll.ESQuote("ABAN.EQ-NSE","Change")</f>
        <v>#NAME?</v>
      </c>
      <c r="D10" s="2" t="e">
        <f ca="1">_xll.ESQuote("ABAN.EQ-NSE","Close")</f>
        <v>#NAME?</v>
      </c>
      <c r="E10" s="2" t="e">
        <f ca="1">_xll.ESQuote("ABAN.EQ-NSE","Company")</f>
        <v>#NAME?</v>
      </c>
      <c r="F10" s="2" t="e">
        <f ca="1">_xll.ESQuote("ABAN.EQ-NSE","Description")</f>
        <v>#NAME?</v>
      </c>
      <c r="G10" s="2" t="e">
        <f ca="1">_xll.ESQuote("ABAN.EQ-NSE","Exchange")</f>
        <v>#NAME?</v>
      </c>
      <c r="H10" s="2" t="e">
        <f ca="1">_xll.ESQuote("ABAN.EQ-NSE","High")</f>
        <v>#NAME?</v>
      </c>
      <c r="I10" s="2" t="e">
        <f ca="1">_xll.ESQuote("ABAN.EQ-NSE","Last")</f>
        <v>#NAME?</v>
      </c>
      <c r="J10" s="4" t="e">
        <f ca="1">_xll.ESQuote("ABAN.EQ-NSE","Last_Time")</f>
        <v>#NAME?</v>
      </c>
      <c r="K10" s="2" t="e">
        <f ca="1">_xll.ESQuote("ABAN.EQ-NSE","Low")</f>
        <v>#NAME?</v>
      </c>
      <c r="L10" s="2" t="e">
        <f ca="1">_xll.ESQuote("ABAN.EQ-NSE","Open")</f>
        <v>#NAME?</v>
      </c>
      <c r="M10" s="2" t="e">
        <f ca="1">_xll.ESQuote("ABAN.EQ-NSE","PrevPrice")</f>
        <v>#NAME?</v>
      </c>
      <c r="N10" s="2" t="e">
        <f ca="1">_xll.ESQuote("ABAN.EQ-NSE","Symbol")</f>
        <v>#NAME?</v>
      </c>
      <c r="O10" s="2" t="e">
        <f ca="1">_xll.ESQuote("ABAN.EQ-NSE","Volume")</f>
        <v>#NAME?</v>
      </c>
    </row>
    <row r="11" spans="1:15" x14ac:dyDescent="0.25">
      <c r="A11" s="1" t="s">
        <v>23</v>
      </c>
      <c r="B11" s="2" t="e">
        <f ca="1">_xll.ESQuote("ABB.EQ-NSE","% Change")</f>
        <v>#NAME?</v>
      </c>
      <c r="C11" s="2" t="e">
        <f ca="1">_xll.ESQuote("ABB.EQ-NSE","Change")</f>
        <v>#NAME?</v>
      </c>
      <c r="D11" s="2" t="e">
        <f ca="1">_xll.ESQuote("ABB.EQ-NSE","Close")</f>
        <v>#NAME?</v>
      </c>
      <c r="E11" s="2" t="e">
        <f ca="1">_xll.ESQuote("ABB.EQ-NSE","Company")</f>
        <v>#NAME?</v>
      </c>
      <c r="F11" s="2" t="e">
        <f ca="1">_xll.ESQuote("ABB.EQ-NSE","Description")</f>
        <v>#NAME?</v>
      </c>
      <c r="G11" s="2" t="e">
        <f ca="1">_xll.ESQuote("ABB.EQ-NSE","Exchange")</f>
        <v>#NAME?</v>
      </c>
      <c r="H11" s="2" t="e">
        <f ca="1">_xll.ESQuote("ABB.EQ-NSE","High")</f>
        <v>#NAME?</v>
      </c>
      <c r="I11" s="2" t="e">
        <f ca="1">_xll.ESQuote("ABB.EQ-NSE","Last")</f>
        <v>#NAME?</v>
      </c>
      <c r="J11" s="4" t="e">
        <f ca="1">_xll.ESQuote("ABB.EQ-NSE","Last_Time")</f>
        <v>#NAME?</v>
      </c>
      <c r="K11" s="2" t="e">
        <f ca="1">_xll.ESQuote("ABB.EQ-NSE","Low")</f>
        <v>#NAME?</v>
      </c>
      <c r="L11" s="2" t="e">
        <f ca="1">_xll.ESQuote("ABB.EQ-NSE","Open")</f>
        <v>#NAME?</v>
      </c>
      <c r="M11" s="2" t="e">
        <f ca="1">_xll.ESQuote("ABB.EQ-NSE","PrevPrice")</f>
        <v>#NAME?</v>
      </c>
      <c r="N11" s="2" t="e">
        <f ca="1">_xll.ESQuote("ABB.EQ-NSE","Symbol")</f>
        <v>#NAME?</v>
      </c>
      <c r="O11" s="2" t="e">
        <f ca="1">_xll.ESQuote("ABB.EQ-NSE","Volume")</f>
        <v>#NAME?</v>
      </c>
    </row>
    <row r="12" spans="1:15" x14ac:dyDescent="0.25">
      <c r="A12" s="1" t="s">
        <v>24</v>
      </c>
      <c r="B12" s="2" t="e">
        <f ca="1">_xll.ESQuote("ABBOTINDIA.EQ-NSE","% Change")</f>
        <v>#NAME?</v>
      </c>
      <c r="C12" s="2" t="e">
        <f ca="1">_xll.ESQuote("ABBOTINDIA.EQ-NSE","Change")</f>
        <v>#NAME?</v>
      </c>
      <c r="D12" s="2" t="e">
        <f ca="1">_xll.ESQuote("ABBOTINDIA.EQ-NSE","Close")</f>
        <v>#NAME?</v>
      </c>
      <c r="E12" s="2" t="e">
        <f ca="1">_xll.ESQuote("ABBOTINDIA.EQ-NSE","Company")</f>
        <v>#NAME?</v>
      </c>
      <c r="F12" s="2" t="e">
        <f ca="1">_xll.ESQuote("ABBOTINDIA.EQ-NSE","Description")</f>
        <v>#NAME?</v>
      </c>
      <c r="G12" s="2" t="e">
        <f ca="1">_xll.ESQuote("ABBOTINDIA.EQ-NSE","Exchange")</f>
        <v>#NAME?</v>
      </c>
      <c r="H12" s="2" t="e">
        <f ca="1">_xll.ESQuote("ABBOTINDIA.EQ-NSE","High")</f>
        <v>#NAME?</v>
      </c>
      <c r="I12" s="2" t="e">
        <f ca="1">_xll.ESQuote("ABBOTINDIA.EQ-NSE","Last")</f>
        <v>#NAME?</v>
      </c>
      <c r="J12" s="4" t="e">
        <f ca="1">_xll.ESQuote("ABBOTINDIA.EQ-NSE","Last_Time")</f>
        <v>#NAME?</v>
      </c>
      <c r="K12" s="2" t="e">
        <f ca="1">_xll.ESQuote("ABBOTINDIA.EQ-NSE","Low")</f>
        <v>#NAME?</v>
      </c>
      <c r="L12" s="2" t="e">
        <f ca="1">_xll.ESQuote("ABBOTINDIA.EQ-NSE","Open")</f>
        <v>#NAME?</v>
      </c>
      <c r="M12" s="2" t="e">
        <f ca="1">_xll.ESQuote("ABBOTINDIA.EQ-NSE","PrevPrice")</f>
        <v>#NAME?</v>
      </c>
      <c r="N12" s="2" t="e">
        <f ca="1">_xll.ESQuote("ABBOTINDIA.EQ-NSE","Symbol")</f>
        <v>#NAME?</v>
      </c>
      <c r="O12" s="2" t="e">
        <f ca="1">_xll.ESQuote("ABBOTINDIA.EQ-NSE","Volume")</f>
        <v>#NAME?</v>
      </c>
    </row>
    <row r="13" spans="1:15" x14ac:dyDescent="0.25">
      <c r="A13" s="1" t="s">
        <v>25</v>
      </c>
      <c r="B13" s="2" t="e">
        <f ca="1">_xll.ESQuote("ABCIL.EQ-NSE","% Change")</f>
        <v>#NAME?</v>
      </c>
      <c r="C13" s="2" t="e">
        <f ca="1">_xll.ESQuote("ABCIL.EQ-NSE","Change")</f>
        <v>#NAME?</v>
      </c>
      <c r="D13" s="2" t="e">
        <f ca="1">_xll.ESQuote("ABCIL.EQ-NSE","Close")</f>
        <v>#NAME?</v>
      </c>
      <c r="E13" s="2" t="e">
        <f ca="1">_xll.ESQuote("ABCIL.EQ-NSE","Company")</f>
        <v>#NAME?</v>
      </c>
      <c r="F13" s="2" t="e">
        <f ca="1">_xll.ESQuote("ABCIL.EQ-NSE","Description")</f>
        <v>#NAME?</v>
      </c>
      <c r="G13" s="2" t="e">
        <f ca="1">_xll.ESQuote("ABCIL.EQ-NSE","Exchange")</f>
        <v>#NAME?</v>
      </c>
      <c r="H13" s="2" t="e">
        <f ca="1">_xll.ESQuote("ABCIL.EQ-NSE","High")</f>
        <v>#NAME?</v>
      </c>
      <c r="I13" s="2" t="e">
        <f ca="1">_xll.ESQuote("ABCIL.EQ-NSE","Last")</f>
        <v>#NAME?</v>
      </c>
      <c r="J13" s="4" t="e">
        <f ca="1">_xll.ESQuote("ABCIL.EQ-NSE","Last_Time")</f>
        <v>#NAME?</v>
      </c>
      <c r="K13" s="2" t="e">
        <f ca="1">_xll.ESQuote("ABCIL.EQ-NSE","Low")</f>
        <v>#NAME?</v>
      </c>
      <c r="L13" s="2" t="e">
        <f ca="1">_xll.ESQuote("ABCIL.EQ-NSE","Open")</f>
        <v>#NAME?</v>
      </c>
      <c r="M13" s="2" t="e">
        <f ca="1">_xll.ESQuote("ABCIL.EQ-NSE","PrevPrice")</f>
        <v>#NAME?</v>
      </c>
      <c r="N13" s="2" t="e">
        <f ca="1">_xll.ESQuote("ABCIL.EQ-NSE","Symbol")</f>
        <v>#NAME?</v>
      </c>
      <c r="O13" s="2" t="e">
        <f ca="1">_xll.ESQuote("ABCIL.EQ-NSE","Volume")</f>
        <v>#NAME?</v>
      </c>
    </row>
    <row r="14" spans="1:15" x14ac:dyDescent="0.25">
      <c r="A14" s="1" t="s">
        <v>26</v>
      </c>
      <c r="B14" s="2" t="e">
        <f ca="1">_xll.ESQuote("ABGSHIP.EQ-NSE","% Change")</f>
        <v>#NAME?</v>
      </c>
      <c r="C14" s="2" t="e">
        <f ca="1">_xll.ESQuote("ABGSHIP.EQ-NSE","Change")</f>
        <v>#NAME?</v>
      </c>
      <c r="D14" s="2" t="e">
        <f ca="1">_xll.ESQuote("ABGSHIP.EQ-NSE","Close")</f>
        <v>#NAME?</v>
      </c>
      <c r="E14" s="2" t="e">
        <f ca="1">_xll.ESQuote("ABGSHIP.EQ-NSE","Company")</f>
        <v>#NAME?</v>
      </c>
      <c r="F14" s="2" t="e">
        <f ca="1">_xll.ESQuote("ABGSHIP.EQ-NSE","Description")</f>
        <v>#NAME?</v>
      </c>
      <c r="G14" s="2" t="e">
        <f ca="1">_xll.ESQuote("ABGSHIP.EQ-NSE","Exchange")</f>
        <v>#NAME?</v>
      </c>
      <c r="H14" s="2" t="e">
        <f ca="1">_xll.ESQuote("ABGSHIP.EQ-NSE","High")</f>
        <v>#NAME?</v>
      </c>
      <c r="I14" s="2" t="e">
        <f ca="1">_xll.ESQuote("ABGSHIP.EQ-NSE","Last")</f>
        <v>#NAME?</v>
      </c>
      <c r="J14" s="4" t="e">
        <f ca="1">_xll.ESQuote("ABGSHIP.EQ-NSE","Last_Time")</f>
        <v>#NAME?</v>
      </c>
      <c r="K14" s="2" t="e">
        <f ca="1">_xll.ESQuote("ABGSHIP.EQ-NSE","Low")</f>
        <v>#NAME?</v>
      </c>
      <c r="L14" s="2" t="e">
        <f ca="1">_xll.ESQuote("ABGSHIP.EQ-NSE","Open")</f>
        <v>#NAME?</v>
      </c>
      <c r="M14" s="2" t="e">
        <f ca="1">_xll.ESQuote("ABGSHIP.EQ-NSE","PrevPrice")</f>
        <v>#NAME?</v>
      </c>
      <c r="N14" s="2" t="e">
        <f ca="1">_xll.ESQuote("ABGSHIP.EQ-NSE","Symbol")</f>
        <v>#NAME?</v>
      </c>
      <c r="O14" s="2" t="e">
        <f ca="1">_xll.ESQuote("ABGSHIP.EQ-NSE","Volume")</f>
        <v>#NAME?</v>
      </c>
    </row>
    <row r="15" spans="1:15" x14ac:dyDescent="0.25">
      <c r="A15" s="1" t="s">
        <v>27</v>
      </c>
      <c r="B15" s="2" t="e">
        <f ca="1">_xll.ESQuote("ABIRLANUVO.EQ-NSE","% Change")</f>
        <v>#NAME?</v>
      </c>
      <c r="C15" s="2" t="e">
        <f ca="1">_xll.ESQuote("ABIRLANUVO.EQ-NSE","Change")</f>
        <v>#NAME?</v>
      </c>
      <c r="D15" s="2" t="e">
        <f ca="1">_xll.ESQuote("ABIRLANUVO.EQ-NSE","Close")</f>
        <v>#NAME?</v>
      </c>
      <c r="E15" s="2" t="e">
        <f ca="1">_xll.ESQuote("ABIRLANUVO.EQ-NSE","Company")</f>
        <v>#NAME?</v>
      </c>
      <c r="F15" s="2" t="e">
        <f ca="1">_xll.ESQuote("ABIRLANUVO.EQ-NSE","Description")</f>
        <v>#NAME?</v>
      </c>
      <c r="G15" s="2" t="e">
        <f ca="1">_xll.ESQuote("ABIRLANUVO.EQ-NSE","Exchange")</f>
        <v>#NAME?</v>
      </c>
      <c r="H15" s="2" t="e">
        <f ca="1">_xll.ESQuote("ABIRLANUVO.EQ-NSE","High")</f>
        <v>#NAME?</v>
      </c>
      <c r="I15" s="2" t="e">
        <f ca="1">_xll.ESQuote("ABIRLANUVO.EQ-NSE","Last")</f>
        <v>#NAME?</v>
      </c>
      <c r="J15" s="4" t="e">
        <f ca="1">_xll.ESQuote("ABIRLANUVO.EQ-NSE","Last_Time")</f>
        <v>#NAME?</v>
      </c>
      <c r="K15" s="2" t="e">
        <f ca="1">_xll.ESQuote("ABIRLANUVO.EQ-NSE","Low")</f>
        <v>#NAME?</v>
      </c>
      <c r="L15" s="2" t="e">
        <f ca="1">_xll.ESQuote("ABIRLANUVO.EQ-NSE","Open")</f>
        <v>#NAME?</v>
      </c>
      <c r="M15" s="2" t="e">
        <f ca="1">_xll.ESQuote("ABIRLANUVO.EQ-NSE","PrevPrice")</f>
        <v>#NAME?</v>
      </c>
      <c r="N15" s="2" t="e">
        <f ca="1">_xll.ESQuote("ABIRLANUVO.EQ-NSE","Symbol")</f>
        <v>#NAME?</v>
      </c>
      <c r="O15" s="2" t="e">
        <f ca="1">_xll.ESQuote("ABIRLANUVO.EQ-NSE","Volume")</f>
        <v>#NAME?</v>
      </c>
    </row>
    <row r="16" spans="1:15" x14ac:dyDescent="0.25">
      <c r="A16" s="1" t="s">
        <v>28</v>
      </c>
      <c r="B16" s="2" t="e">
        <f ca="1">_xll.ESQuote("ACC.EQ-NSE","% Change")</f>
        <v>#NAME?</v>
      </c>
      <c r="C16" s="2" t="e">
        <f ca="1">_xll.ESQuote("ACC.EQ-NSE","Change")</f>
        <v>#NAME?</v>
      </c>
      <c r="D16" s="2" t="e">
        <f ca="1">_xll.ESQuote("ACC.EQ-NSE","Close")</f>
        <v>#NAME?</v>
      </c>
      <c r="E16" s="2" t="e">
        <f ca="1">_xll.ESQuote("ACC.EQ-NSE","Company")</f>
        <v>#NAME?</v>
      </c>
      <c r="F16" s="2" t="e">
        <f ca="1">_xll.ESQuote("ACC.EQ-NSE","Description")</f>
        <v>#NAME?</v>
      </c>
      <c r="G16" s="2" t="e">
        <f ca="1">_xll.ESQuote("ACC.EQ-NSE","Exchange")</f>
        <v>#NAME?</v>
      </c>
      <c r="H16" s="2" t="e">
        <f ca="1">_xll.ESQuote("ACC.EQ-NSE","High")</f>
        <v>#NAME?</v>
      </c>
      <c r="I16" s="2" t="e">
        <f ca="1">_xll.ESQuote("ACC.EQ-NSE","Last")</f>
        <v>#NAME?</v>
      </c>
      <c r="J16" s="4" t="e">
        <f ca="1">_xll.ESQuote("ACC.EQ-NSE","Last_Time")</f>
        <v>#NAME?</v>
      </c>
      <c r="K16" s="2" t="e">
        <f ca="1">_xll.ESQuote("ACC.EQ-NSE","Low")</f>
        <v>#NAME?</v>
      </c>
      <c r="L16" s="2" t="e">
        <f ca="1">_xll.ESQuote("ACC.EQ-NSE","Open")</f>
        <v>#NAME?</v>
      </c>
      <c r="M16" s="2" t="e">
        <f ca="1">_xll.ESQuote("ACC.EQ-NSE","PrevPrice")</f>
        <v>#NAME?</v>
      </c>
      <c r="N16" s="2" t="e">
        <f ca="1">_xll.ESQuote("ACC.EQ-NSE","Symbol")</f>
        <v>#NAME?</v>
      </c>
      <c r="O16" s="2" t="e">
        <f ca="1">_xll.ESQuote("ACC.EQ-NSE","Volume")</f>
        <v>#NAME?</v>
      </c>
    </row>
    <row r="17" spans="1:15" x14ac:dyDescent="0.25">
      <c r="A17" s="1" t="s">
        <v>29</v>
      </c>
      <c r="B17" s="2" t="e">
        <f ca="1">_xll.ESQuote("ACCELYA.EQ-NSE","% Change")</f>
        <v>#NAME?</v>
      </c>
      <c r="C17" s="2" t="e">
        <f ca="1">_xll.ESQuote("ACCELYA.EQ-NSE","Change")</f>
        <v>#NAME?</v>
      </c>
      <c r="D17" s="2" t="e">
        <f ca="1">_xll.ESQuote("ACCELYA.EQ-NSE","Close")</f>
        <v>#NAME?</v>
      </c>
      <c r="E17" s="2" t="e">
        <f ca="1">_xll.ESQuote("ACCELYA.EQ-NSE","Company")</f>
        <v>#NAME?</v>
      </c>
      <c r="F17" s="2" t="e">
        <f ca="1">_xll.ESQuote("ACCELYA.EQ-NSE","Description")</f>
        <v>#NAME?</v>
      </c>
      <c r="G17" s="2" t="e">
        <f ca="1">_xll.ESQuote("ACCELYA.EQ-NSE","Exchange")</f>
        <v>#NAME?</v>
      </c>
      <c r="H17" s="2" t="e">
        <f ca="1">_xll.ESQuote("ACCELYA.EQ-NSE","High")</f>
        <v>#NAME?</v>
      </c>
      <c r="I17" s="2" t="e">
        <f ca="1">_xll.ESQuote("ACCELYA.EQ-NSE","Last")</f>
        <v>#NAME?</v>
      </c>
      <c r="J17" s="4" t="e">
        <f ca="1">_xll.ESQuote("ACCELYA.EQ-NSE","Last_Time")</f>
        <v>#NAME?</v>
      </c>
      <c r="K17" s="2" t="e">
        <f ca="1">_xll.ESQuote("ACCELYA.EQ-NSE","Low")</f>
        <v>#NAME?</v>
      </c>
      <c r="L17" s="2" t="e">
        <f ca="1">_xll.ESQuote("ACCELYA.EQ-NSE","Open")</f>
        <v>#NAME?</v>
      </c>
      <c r="M17" s="2" t="e">
        <f ca="1">_xll.ESQuote("ACCELYA.EQ-NSE","PrevPrice")</f>
        <v>#NAME?</v>
      </c>
      <c r="N17" s="2" t="e">
        <f ca="1">_xll.ESQuote("ACCELYA.EQ-NSE","Symbol")</f>
        <v>#NAME?</v>
      </c>
      <c r="O17" s="2" t="e">
        <f ca="1">_xll.ESQuote("ACCELYA.EQ-NSE","Volume")</f>
        <v>#NAME?</v>
      </c>
    </row>
    <row r="18" spans="1:15" x14ac:dyDescent="0.25">
      <c r="A18" s="1" t="s">
        <v>30</v>
      </c>
      <c r="B18" s="2" t="e">
        <f ca="1">_xll.ESQuote("ACE.EQ-NSE","% Change")</f>
        <v>#NAME?</v>
      </c>
      <c r="C18" s="2" t="e">
        <f ca="1">_xll.ESQuote("ACE.EQ-NSE","Change")</f>
        <v>#NAME?</v>
      </c>
      <c r="D18" s="2" t="e">
        <f ca="1">_xll.ESQuote("ACE.EQ-NSE","Close")</f>
        <v>#NAME?</v>
      </c>
      <c r="E18" s="2" t="e">
        <f ca="1">_xll.ESQuote("ACE.EQ-NSE","Company")</f>
        <v>#NAME?</v>
      </c>
      <c r="F18" s="2" t="e">
        <f ca="1">_xll.ESQuote("ACE.EQ-NSE","Description")</f>
        <v>#NAME?</v>
      </c>
      <c r="G18" s="2" t="e">
        <f ca="1">_xll.ESQuote("ACE.EQ-NSE","Exchange")</f>
        <v>#NAME?</v>
      </c>
      <c r="H18" s="2" t="e">
        <f ca="1">_xll.ESQuote("ACE.EQ-NSE","High")</f>
        <v>#NAME?</v>
      </c>
      <c r="I18" s="2" t="e">
        <f ca="1">_xll.ESQuote("ACE.EQ-NSE","Last")</f>
        <v>#NAME?</v>
      </c>
      <c r="J18" s="4" t="e">
        <f ca="1">_xll.ESQuote("ACE.EQ-NSE","Last_Time")</f>
        <v>#NAME?</v>
      </c>
      <c r="K18" s="2" t="e">
        <f ca="1">_xll.ESQuote("ACE.EQ-NSE","Low")</f>
        <v>#NAME?</v>
      </c>
      <c r="L18" s="2" t="e">
        <f ca="1">_xll.ESQuote("ACE.EQ-NSE","Open")</f>
        <v>#NAME?</v>
      </c>
      <c r="M18" s="2" t="e">
        <f ca="1">_xll.ESQuote("ACE.EQ-NSE","PrevPrice")</f>
        <v>#NAME?</v>
      </c>
      <c r="N18" s="2" t="e">
        <f ca="1">_xll.ESQuote("ACE.EQ-NSE","Symbol")</f>
        <v>#NAME?</v>
      </c>
      <c r="O18" s="2" t="e">
        <f ca="1">_xll.ESQuote("ACE.EQ-NSE","Volume")</f>
        <v>#NAME?</v>
      </c>
    </row>
    <row r="19" spans="1:15" x14ac:dyDescent="0.25">
      <c r="A19" s="1" t="s">
        <v>31</v>
      </c>
      <c r="B19" s="2" t="e">
        <f ca="1">_xll.ESQuote("ACROPETAL.EQ-NSE","% Change")</f>
        <v>#NAME?</v>
      </c>
      <c r="C19" s="2" t="e">
        <f ca="1">_xll.ESQuote("ACROPETAL.EQ-NSE","Change")</f>
        <v>#NAME?</v>
      </c>
      <c r="D19" s="2" t="e">
        <f ca="1">_xll.ESQuote("ACROPETAL.EQ-NSE","Close")</f>
        <v>#NAME?</v>
      </c>
      <c r="E19" s="2" t="e">
        <f ca="1">_xll.ESQuote("ACROPETAL.EQ-NSE","Company")</f>
        <v>#NAME?</v>
      </c>
      <c r="F19" s="2" t="e">
        <f ca="1">_xll.ESQuote("ACROPETAL.EQ-NSE","Description")</f>
        <v>#NAME?</v>
      </c>
      <c r="G19" s="2" t="e">
        <f ca="1">_xll.ESQuote("ACROPETAL.EQ-NSE","Exchange")</f>
        <v>#NAME?</v>
      </c>
      <c r="H19" s="2" t="e">
        <f ca="1">_xll.ESQuote("ACROPETAL.EQ-NSE","High")</f>
        <v>#NAME?</v>
      </c>
      <c r="I19" s="2" t="e">
        <f ca="1">_xll.ESQuote("ACROPETAL.EQ-NSE","Last")</f>
        <v>#NAME?</v>
      </c>
      <c r="J19" s="4" t="e">
        <f ca="1">_xll.ESQuote("ACROPETAL.EQ-NSE","Last_Time")</f>
        <v>#NAME?</v>
      </c>
      <c r="K19" s="2" t="e">
        <f ca="1">_xll.ESQuote("ACROPETAL.EQ-NSE","Low")</f>
        <v>#NAME?</v>
      </c>
      <c r="L19" s="2" t="e">
        <f ca="1">_xll.ESQuote("ACROPETAL.EQ-NSE","Open")</f>
        <v>#NAME?</v>
      </c>
      <c r="M19" s="2" t="e">
        <f ca="1">_xll.ESQuote("ACROPETAL.EQ-NSE","PrevPrice")</f>
        <v>#NAME?</v>
      </c>
      <c r="N19" s="2" t="e">
        <f ca="1">_xll.ESQuote("ACROPETAL.EQ-NSE","Symbol")</f>
        <v>#NAME?</v>
      </c>
      <c r="O19" s="2" t="e">
        <f ca="1">_xll.ESQuote("ACROPETAL.EQ-NSE","Volume")</f>
        <v>#NAME?</v>
      </c>
    </row>
    <row r="20" spans="1:15" x14ac:dyDescent="0.25">
      <c r="A20" s="1" t="s">
        <v>32</v>
      </c>
      <c r="B20" s="2" t="e">
        <f ca="1">_xll.ESQuote("ADANIENT.EQ-NSE","% Change")</f>
        <v>#NAME?</v>
      </c>
      <c r="C20" s="2" t="e">
        <f ca="1">_xll.ESQuote("ADANIENT.EQ-NSE","Change")</f>
        <v>#NAME?</v>
      </c>
      <c r="D20" s="2" t="e">
        <f ca="1">_xll.ESQuote("ADANIENT.EQ-NSE","Close")</f>
        <v>#NAME?</v>
      </c>
      <c r="E20" s="2" t="e">
        <f ca="1">_xll.ESQuote("ADANIENT.EQ-NSE","Company")</f>
        <v>#NAME?</v>
      </c>
      <c r="F20" s="2" t="e">
        <f ca="1">_xll.ESQuote("ADANIENT.EQ-NSE","Description")</f>
        <v>#NAME?</v>
      </c>
      <c r="G20" s="2" t="e">
        <f ca="1">_xll.ESQuote("ADANIENT.EQ-NSE","Exchange")</f>
        <v>#NAME?</v>
      </c>
      <c r="H20" s="2" t="e">
        <f ca="1">_xll.ESQuote("ADANIENT.EQ-NSE","High")</f>
        <v>#NAME?</v>
      </c>
      <c r="I20" s="2" t="e">
        <f ca="1">_xll.ESQuote("ADANIENT.EQ-NSE","Last")</f>
        <v>#NAME?</v>
      </c>
      <c r="J20" s="4" t="e">
        <f ca="1">_xll.ESQuote("ADANIENT.EQ-NSE","Last_Time")</f>
        <v>#NAME?</v>
      </c>
      <c r="K20" s="2" t="e">
        <f ca="1">_xll.ESQuote("ADANIENT.EQ-NSE","Low")</f>
        <v>#NAME?</v>
      </c>
      <c r="L20" s="2" t="e">
        <f ca="1">_xll.ESQuote("ADANIENT.EQ-NSE","Open")</f>
        <v>#NAME?</v>
      </c>
      <c r="M20" s="2" t="e">
        <f ca="1">_xll.ESQuote("ADANIENT.EQ-NSE","PrevPrice")</f>
        <v>#NAME?</v>
      </c>
      <c r="N20" s="2" t="e">
        <f ca="1">_xll.ESQuote("ADANIENT.EQ-NSE","Symbol")</f>
        <v>#NAME?</v>
      </c>
      <c r="O20" s="2" t="e">
        <f ca="1">_xll.ESQuote("ADANIENT.EQ-NSE","Volume")</f>
        <v>#NAME?</v>
      </c>
    </row>
    <row r="21" spans="1:15" x14ac:dyDescent="0.25">
      <c r="A21" s="1" t="s">
        <v>33</v>
      </c>
      <c r="B21" s="2" t="e">
        <f ca="1">_xll.ESQuote("ADANIPORTS.EQ-NSE","% Change")</f>
        <v>#NAME?</v>
      </c>
      <c r="C21" s="2" t="e">
        <f ca="1">_xll.ESQuote("ADANIPORTS.EQ-NSE","Change")</f>
        <v>#NAME?</v>
      </c>
      <c r="D21" s="2" t="e">
        <f ca="1">_xll.ESQuote("ADANIPORTS.EQ-NSE","Close")</f>
        <v>#NAME?</v>
      </c>
      <c r="E21" s="2" t="e">
        <f ca="1">_xll.ESQuote("ADANIPORTS.EQ-NSE","Company")</f>
        <v>#NAME?</v>
      </c>
      <c r="F21" s="2" t="e">
        <f ca="1">_xll.ESQuote("ADANIPORTS.EQ-NSE","Description")</f>
        <v>#NAME?</v>
      </c>
      <c r="G21" s="2" t="e">
        <f ca="1">_xll.ESQuote("ADANIPORTS.EQ-NSE","Exchange")</f>
        <v>#NAME?</v>
      </c>
      <c r="H21" s="2" t="e">
        <f ca="1">_xll.ESQuote("ADANIPORTS.EQ-NSE","High")</f>
        <v>#NAME?</v>
      </c>
      <c r="I21" s="2" t="e">
        <f ca="1">_xll.ESQuote("ADANIPORTS.EQ-NSE","Last")</f>
        <v>#NAME?</v>
      </c>
      <c r="J21" s="4" t="e">
        <f ca="1">_xll.ESQuote("ADANIPORTS.EQ-NSE","Last_Time")</f>
        <v>#NAME?</v>
      </c>
      <c r="K21" s="2" t="e">
        <f ca="1">_xll.ESQuote("ADANIPORTS.EQ-NSE","Low")</f>
        <v>#NAME?</v>
      </c>
      <c r="L21" s="2" t="e">
        <f ca="1">_xll.ESQuote("ADANIPORTS.EQ-NSE","Open")</f>
        <v>#NAME?</v>
      </c>
      <c r="M21" s="2" t="e">
        <f ca="1">_xll.ESQuote("ADANIPORTS.EQ-NSE","PrevPrice")</f>
        <v>#NAME?</v>
      </c>
      <c r="N21" s="2" t="e">
        <f ca="1">_xll.ESQuote("ADANIPORTS.EQ-NSE","Symbol")</f>
        <v>#NAME?</v>
      </c>
      <c r="O21" s="2" t="e">
        <f ca="1">_xll.ESQuote("ADANIPORTS.EQ-NSE","Volume")</f>
        <v>#NAME?</v>
      </c>
    </row>
    <row r="22" spans="1:15" x14ac:dyDescent="0.25">
      <c r="A22" s="1" t="s">
        <v>34</v>
      </c>
      <c r="B22" s="2" t="e">
        <f ca="1">_xll.ESQuote("ADANIPOWER.EQ-NSE","% Change")</f>
        <v>#NAME?</v>
      </c>
      <c r="C22" s="2" t="e">
        <f ca="1">_xll.ESQuote("ADANIPOWER.EQ-NSE","Change")</f>
        <v>#NAME?</v>
      </c>
      <c r="D22" s="2" t="e">
        <f ca="1">_xll.ESQuote("ADANIPOWER.EQ-NSE","Close")</f>
        <v>#NAME?</v>
      </c>
      <c r="E22" s="2" t="e">
        <f ca="1">_xll.ESQuote("ADANIPOWER.EQ-NSE","Company")</f>
        <v>#NAME?</v>
      </c>
      <c r="F22" s="2" t="e">
        <f ca="1">_xll.ESQuote("ADANIPOWER.EQ-NSE","Description")</f>
        <v>#NAME?</v>
      </c>
      <c r="G22" s="2" t="e">
        <f ca="1">_xll.ESQuote("ADANIPOWER.EQ-NSE","Exchange")</f>
        <v>#NAME?</v>
      </c>
      <c r="H22" s="2" t="e">
        <f ca="1">_xll.ESQuote("ADANIPOWER.EQ-NSE","High")</f>
        <v>#NAME?</v>
      </c>
      <c r="I22" s="2" t="e">
        <f ca="1">_xll.ESQuote("ADANIPOWER.EQ-NSE","Last")</f>
        <v>#NAME?</v>
      </c>
      <c r="J22" s="4" t="e">
        <f ca="1">_xll.ESQuote("ADANIPOWER.EQ-NSE","Last_Time")</f>
        <v>#NAME?</v>
      </c>
      <c r="K22" s="2" t="e">
        <f ca="1">_xll.ESQuote("ADANIPOWER.EQ-NSE","Low")</f>
        <v>#NAME?</v>
      </c>
      <c r="L22" s="2" t="e">
        <f ca="1">_xll.ESQuote("ADANIPOWER.EQ-NSE","Open")</f>
        <v>#NAME?</v>
      </c>
      <c r="M22" s="2" t="e">
        <f ca="1">_xll.ESQuote("ADANIPOWER.EQ-NSE","PrevPrice")</f>
        <v>#NAME?</v>
      </c>
      <c r="N22" s="2" t="e">
        <f ca="1">_xll.ESQuote("ADANIPOWER.EQ-NSE","Symbol")</f>
        <v>#NAME?</v>
      </c>
      <c r="O22" s="2" t="e">
        <f ca="1">_xll.ESQuote("ADANIPOWER.EQ-NSE","Volume")</f>
        <v>#NAME?</v>
      </c>
    </row>
    <row r="23" spans="1:15" x14ac:dyDescent="0.25">
      <c r="A23" s="1" t="s">
        <v>35</v>
      </c>
      <c r="B23" s="2" t="e">
        <f ca="1">_xll.ESQuote("ADFFOODS.EQ-NSE","% Change")</f>
        <v>#NAME?</v>
      </c>
      <c r="C23" s="2" t="e">
        <f ca="1">_xll.ESQuote("ADFFOODS.EQ-NSE","Change")</f>
        <v>#NAME?</v>
      </c>
      <c r="D23" s="2" t="e">
        <f ca="1">_xll.ESQuote("ADFFOODS.EQ-NSE","Close")</f>
        <v>#NAME?</v>
      </c>
      <c r="E23" s="2" t="e">
        <f ca="1">_xll.ESQuote("ADFFOODS.EQ-NSE","Company")</f>
        <v>#NAME?</v>
      </c>
      <c r="F23" s="2" t="e">
        <f ca="1">_xll.ESQuote("ADFFOODS.EQ-NSE","Description")</f>
        <v>#NAME?</v>
      </c>
      <c r="G23" s="2" t="e">
        <f ca="1">_xll.ESQuote("ADFFOODS.EQ-NSE","Exchange")</f>
        <v>#NAME?</v>
      </c>
      <c r="H23" s="2" t="e">
        <f ca="1">_xll.ESQuote("ADFFOODS.EQ-NSE","High")</f>
        <v>#NAME?</v>
      </c>
      <c r="I23" s="2" t="e">
        <f ca="1">_xll.ESQuote("ADFFOODS.EQ-NSE","Last")</f>
        <v>#NAME?</v>
      </c>
      <c r="J23" s="4" t="e">
        <f ca="1">_xll.ESQuote("ADFFOODS.EQ-NSE","Last_Time")</f>
        <v>#NAME?</v>
      </c>
      <c r="K23" s="2" t="e">
        <f ca="1">_xll.ESQuote("ADFFOODS.EQ-NSE","Low")</f>
        <v>#NAME?</v>
      </c>
      <c r="L23" s="2" t="e">
        <f ca="1">_xll.ESQuote("ADFFOODS.EQ-NSE","Open")</f>
        <v>#NAME?</v>
      </c>
      <c r="M23" s="2" t="e">
        <f ca="1">_xll.ESQuote("ADFFOODS.EQ-NSE","PrevPrice")</f>
        <v>#NAME?</v>
      </c>
      <c r="N23" s="2" t="e">
        <f ca="1">_xll.ESQuote("ADFFOODS.EQ-NSE","Symbol")</f>
        <v>#NAME?</v>
      </c>
      <c r="O23" s="2" t="e">
        <f ca="1">_xll.ESQuote("ADFFOODS.EQ-NSE","Volume")</f>
        <v>#NAME?</v>
      </c>
    </row>
    <row r="24" spans="1:15" x14ac:dyDescent="0.25">
      <c r="A24" s="1" t="s">
        <v>36</v>
      </c>
      <c r="B24" s="2" t="e">
        <f ca="1">_xll.ESQuote("ADHUNIK.EQ-NSE","% Change")</f>
        <v>#NAME?</v>
      </c>
      <c r="C24" s="2" t="e">
        <f ca="1">_xll.ESQuote("ADHUNIK.EQ-NSE","Change")</f>
        <v>#NAME?</v>
      </c>
      <c r="D24" s="2" t="e">
        <f ca="1">_xll.ESQuote("ADHUNIK.EQ-NSE","Close")</f>
        <v>#NAME?</v>
      </c>
      <c r="E24" s="2" t="e">
        <f ca="1">_xll.ESQuote("ADHUNIK.EQ-NSE","Company")</f>
        <v>#NAME?</v>
      </c>
      <c r="F24" s="2" t="e">
        <f ca="1">_xll.ESQuote("ADHUNIK.EQ-NSE","Description")</f>
        <v>#NAME?</v>
      </c>
      <c r="G24" s="2" t="e">
        <f ca="1">_xll.ESQuote("ADHUNIK.EQ-NSE","Exchange")</f>
        <v>#NAME?</v>
      </c>
      <c r="H24" s="2" t="e">
        <f ca="1">_xll.ESQuote("ADHUNIK.EQ-NSE","High")</f>
        <v>#NAME?</v>
      </c>
      <c r="I24" s="2" t="e">
        <f ca="1">_xll.ESQuote("ADHUNIK.EQ-NSE","Last")</f>
        <v>#NAME?</v>
      </c>
      <c r="J24" s="4" t="e">
        <f ca="1">_xll.ESQuote("ADHUNIK.EQ-NSE","Last_Time")</f>
        <v>#NAME?</v>
      </c>
      <c r="K24" s="2" t="e">
        <f ca="1">_xll.ESQuote("ADHUNIK.EQ-NSE","Low")</f>
        <v>#NAME?</v>
      </c>
      <c r="L24" s="2" t="e">
        <f ca="1">_xll.ESQuote("ADHUNIK.EQ-NSE","Open")</f>
        <v>#NAME?</v>
      </c>
      <c r="M24" s="2" t="e">
        <f ca="1">_xll.ESQuote("ADHUNIK.EQ-NSE","PrevPrice")</f>
        <v>#NAME?</v>
      </c>
      <c r="N24" s="2" t="e">
        <f ca="1">_xll.ESQuote("ADHUNIK.EQ-NSE","Symbol")</f>
        <v>#NAME?</v>
      </c>
      <c r="O24" s="2" t="e">
        <f ca="1">_xll.ESQuote("ADHUNIK.EQ-NSE","Volume")</f>
        <v>#NAME?</v>
      </c>
    </row>
    <row r="25" spans="1:15" x14ac:dyDescent="0.25">
      <c r="A25" s="1" t="s">
        <v>37</v>
      </c>
      <c r="B25" s="2" t="e">
        <f ca="1">_xll.ESQuote("ADI.EQ-NSE","% Change")</f>
        <v>#NAME?</v>
      </c>
      <c r="C25" s="2" t="e">
        <f ca="1">_xll.ESQuote("ADI.EQ-NSE","Change")</f>
        <v>#NAME?</v>
      </c>
      <c r="D25" s="2" t="e">
        <f ca="1">_xll.ESQuote("ADI.EQ-NSE","Close")</f>
        <v>#NAME?</v>
      </c>
      <c r="E25" s="2" t="e">
        <f ca="1">_xll.ESQuote("ADI.EQ-NSE","Company")</f>
        <v>#NAME?</v>
      </c>
      <c r="F25" s="2" t="e">
        <f ca="1">_xll.ESQuote("ADI.EQ-NSE","Description")</f>
        <v>#NAME?</v>
      </c>
      <c r="G25" s="2" t="e">
        <f ca="1">_xll.ESQuote("ADI.EQ-NSE","Exchange")</f>
        <v>#NAME?</v>
      </c>
      <c r="H25" s="2" t="e">
        <f ca="1">_xll.ESQuote("ADI.EQ-NSE","High")</f>
        <v>#NAME?</v>
      </c>
      <c r="I25" s="2" t="e">
        <f ca="1">_xll.ESQuote("ADI.EQ-NSE","Last")</f>
        <v>#NAME?</v>
      </c>
      <c r="J25" s="4" t="e">
        <f ca="1">_xll.ESQuote("ADI.EQ-NSE","Last_Time")</f>
        <v>#NAME?</v>
      </c>
      <c r="K25" s="2" t="e">
        <f ca="1">_xll.ESQuote("ADI.EQ-NSE","Low")</f>
        <v>#NAME?</v>
      </c>
      <c r="L25" s="2" t="e">
        <f ca="1">_xll.ESQuote("ADI.EQ-NSE","Open")</f>
        <v>#NAME?</v>
      </c>
      <c r="M25" s="2" t="e">
        <f ca="1">_xll.ESQuote("ADI.EQ-NSE","PrevPrice")</f>
        <v>#NAME?</v>
      </c>
      <c r="N25" s="2" t="e">
        <f ca="1">_xll.ESQuote("ADI.EQ-NSE","Symbol")</f>
        <v>#NAME?</v>
      </c>
      <c r="O25" s="2" t="e">
        <f ca="1">_xll.ESQuote("ADI.EQ-NSE","Volume")</f>
        <v>#NAME?</v>
      </c>
    </row>
    <row r="26" spans="1:15" x14ac:dyDescent="0.25">
      <c r="A26" s="1" t="s">
        <v>38</v>
      </c>
      <c r="B26" s="2" t="e">
        <f ca="1">_xll.ESQuote("ADLABS.EQ-NSE","% Change")</f>
        <v>#NAME?</v>
      </c>
      <c r="C26" s="2" t="e">
        <f ca="1">_xll.ESQuote("ADLABS.EQ-NSE","Change")</f>
        <v>#NAME?</v>
      </c>
      <c r="D26" s="2" t="e">
        <f ca="1">_xll.ESQuote("ADLABS.EQ-NSE","Close")</f>
        <v>#NAME?</v>
      </c>
      <c r="E26" s="2" t="e">
        <f ca="1">_xll.ESQuote("ADLABS.EQ-NSE","Company")</f>
        <v>#NAME?</v>
      </c>
      <c r="F26" s="2" t="e">
        <f ca="1">_xll.ESQuote("ADLABS.EQ-NSE","Description")</f>
        <v>#NAME?</v>
      </c>
      <c r="G26" s="2" t="e">
        <f ca="1">_xll.ESQuote("ADLABS.EQ-NSE","Exchange")</f>
        <v>#NAME?</v>
      </c>
      <c r="H26" s="2" t="e">
        <f ca="1">_xll.ESQuote("ADLABS.EQ-NSE","High")</f>
        <v>#NAME?</v>
      </c>
      <c r="I26" s="2" t="e">
        <f ca="1">_xll.ESQuote("ADLABS.EQ-NSE","Last")</f>
        <v>#NAME?</v>
      </c>
      <c r="J26" s="4" t="e">
        <f ca="1">_xll.ESQuote("ADLABS.EQ-NSE","Last_Time")</f>
        <v>#NAME?</v>
      </c>
      <c r="K26" s="2" t="e">
        <f ca="1">_xll.ESQuote("ADLABS.EQ-NSE","Low")</f>
        <v>#NAME?</v>
      </c>
      <c r="L26" s="2" t="e">
        <f ca="1">_xll.ESQuote("ADLABS.EQ-NSE","Open")</f>
        <v>#NAME?</v>
      </c>
      <c r="M26" s="2" t="e">
        <f ca="1">_xll.ESQuote("ADLABS.EQ-NSE","PrevPrice")</f>
        <v>#NAME?</v>
      </c>
      <c r="N26" s="2" t="e">
        <f ca="1">_xll.ESQuote("ADLABS.EQ-NSE","Symbol")</f>
        <v>#NAME?</v>
      </c>
      <c r="O26" s="2" t="e">
        <f ca="1">_xll.ESQuote("ADLABS.EQ-NSE","Volume")</f>
        <v>#NAME?</v>
      </c>
    </row>
    <row r="27" spans="1:15" x14ac:dyDescent="0.25">
      <c r="A27" s="1" t="s">
        <v>39</v>
      </c>
      <c r="B27" s="2" t="e">
        <f ca="1">_xll.ESQuote("ADORWELD.EQ-NSE","% Change")</f>
        <v>#NAME?</v>
      </c>
      <c r="C27" s="2" t="e">
        <f ca="1">_xll.ESQuote("ADORWELD.EQ-NSE","Change")</f>
        <v>#NAME?</v>
      </c>
      <c r="D27" s="2" t="e">
        <f ca="1">_xll.ESQuote("ADORWELD.EQ-NSE","Close")</f>
        <v>#NAME?</v>
      </c>
      <c r="E27" s="2" t="e">
        <f ca="1">_xll.ESQuote("ADORWELD.EQ-NSE","Company")</f>
        <v>#NAME?</v>
      </c>
      <c r="F27" s="2" t="e">
        <f ca="1">_xll.ESQuote("ADORWELD.EQ-NSE","Description")</f>
        <v>#NAME?</v>
      </c>
      <c r="G27" s="2" t="e">
        <f ca="1">_xll.ESQuote("ADORWELD.EQ-NSE","Exchange")</f>
        <v>#NAME?</v>
      </c>
      <c r="H27" s="2" t="e">
        <f ca="1">_xll.ESQuote("ADORWELD.EQ-NSE","High")</f>
        <v>#NAME?</v>
      </c>
      <c r="I27" s="2" t="e">
        <f ca="1">_xll.ESQuote("ADORWELD.EQ-NSE","Last")</f>
        <v>#NAME?</v>
      </c>
      <c r="J27" s="4" t="e">
        <f ca="1">_xll.ESQuote("ADORWELD.EQ-NSE","Last_Time")</f>
        <v>#NAME?</v>
      </c>
      <c r="K27" s="2" t="e">
        <f ca="1">_xll.ESQuote("ADORWELD.EQ-NSE","Low")</f>
        <v>#NAME?</v>
      </c>
      <c r="L27" s="2" t="e">
        <f ca="1">_xll.ESQuote("ADORWELD.EQ-NSE","Open")</f>
        <v>#NAME?</v>
      </c>
      <c r="M27" s="2" t="e">
        <f ca="1">_xll.ESQuote("ADORWELD.EQ-NSE","PrevPrice")</f>
        <v>#NAME?</v>
      </c>
      <c r="N27" s="2" t="e">
        <f ca="1">_xll.ESQuote("ADORWELD.EQ-NSE","Symbol")</f>
        <v>#NAME?</v>
      </c>
      <c r="O27" s="2" t="e">
        <f ca="1">_xll.ESQuote("ADORWELD.EQ-NSE","Volume")</f>
        <v>#NAME?</v>
      </c>
    </row>
    <row r="28" spans="1:15" x14ac:dyDescent="0.25">
      <c r="A28" s="1" t="s">
        <v>40</v>
      </c>
      <c r="B28" s="2" t="e">
        <f ca="1">_xll.ESQuote("ADSL.EQ-NSE","% Change")</f>
        <v>#NAME?</v>
      </c>
      <c r="C28" s="2" t="e">
        <f ca="1">_xll.ESQuote("ADSL.EQ-NSE","Change")</f>
        <v>#NAME?</v>
      </c>
      <c r="D28" s="2" t="e">
        <f ca="1">_xll.ESQuote("ADSL.EQ-NSE","Close")</f>
        <v>#NAME?</v>
      </c>
      <c r="E28" s="2" t="e">
        <f ca="1">_xll.ESQuote("ADSL.EQ-NSE","Company")</f>
        <v>#NAME?</v>
      </c>
      <c r="F28" s="2" t="e">
        <f ca="1">_xll.ESQuote("ADSL.EQ-NSE","Description")</f>
        <v>#NAME?</v>
      </c>
      <c r="G28" s="2" t="e">
        <f ca="1">_xll.ESQuote("ADSL.EQ-NSE","Exchange")</f>
        <v>#NAME?</v>
      </c>
      <c r="H28" s="2" t="e">
        <f ca="1">_xll.ESQuote("ADSL.EQ-NSE","High")</f>
        <v>#NAME?</v>
      </c>
      <c r="I28" s="2" t="e">
        <f ca="1">_xll.ESQuote("ADSL.EQ-NSE","Last")</f>
        <v>#NAME?</v>
      </c>
      <c r="J28" s="4" t="e">
        <f ca="1">_xll.ESQuote("ADSL.EQ-NSE","Last_Time")</f>
        <v>#NAME?</v>
      </c>
      <c r="K28" s="2" t="e">
        <f ca="1">_xll.ESQuote("ADSL.EQ-NSE","Low")</f>
        <v>#NAME?</v>
      </c>
      <c r="L28" s="2" t="e">
        <f ca="1">_xll.ESQuote("ADSL.EQ-NSE","Open")</f>
        <v>#NAME?</v>
      </c>
      <c r="M28" s="2" t="e">
        <f ca="1">_xll.ESQuote("ADSL.EQ-NSE","PrevPrice")</f>
        <v>#NAME?</v>
      </c>
      <c r="N28" s="2" t="e">
        <f ca="1">_xll.ESQuote("ADSL.EQ-NSE","Symbol")</f>
        <v>#NAME?</v>
      </c>
      <c r="O28" s="2" t="e">
        <f ca="1">_xll.ESQuote("ADSL.EQ-NSE","Volume")</f>
        <v>#NAME?</v>
      </c>
    </row>
    <row r="29" spans="1:15" x14ac:dyDescent="0.25">
      <c r="A29" s="1" t="s">
        <v>41</v>
      </c>
      <c r="B29" s="2" t="e">
        <f ca="1">_xll.ESQuote("ADVANIHOTR.EQ-NSE","% Change")</f>
        <v>#NAME?</v>
      </c>
      <c r="C29" s="2" t="e">
        <f ca="1">_xll.ESQuote("ADVANIHOTR.EQ-NSE","Change")</f>
        <v>#NAME?</v>
      </c>
      <c r="D29" s="2" t="e">
        <f ca="1">_xll.ESQuote("ADVANIHOTR.EQ-NSE","Close")</f>
        <v>#NAME?</v>
      </c>
      <c r="E29" s="2" t="e">
        <f ca="1">_xll.ESQuote("ADVANIHOTR.EQ-NSE","Company")</f>
        <v>#NAME?</v>
      </c>
      <c r="F29" s="2" t="e">
        <f ca="1">_xll.ESQuote("ADVANIHOTR.EQ-NSE","Description")</f>
        <v>#NAME?</v>
      </c>
      <c r="G29" s="2" t="e">
        <f ca="1">_xll.ESQuote("ADVANIHOTR.EQ-NSE","Exchange")</f>
        <v>#NAME?</v>
      </c>
      <c r="H29" s="2" t="e">
        <f ca="1">_xll.ESQuote("ADVANIHOTR.EQ-NSE","High")</f>
        <v>#NAME?</v>
      </c>
      <c r="I29" s="2" t="e">
        <f ca="1">_xll.ESQuote("ADVANIHOTR.EQ-NSE","Last")</f>
        <v>#NAME?</v>
      </c>
      <c r="J29" s="4" t="e">
        <f ca="1">_xll.ESQuote("ADVANIHOTR.EQ-NSE","Last_Time")</f>
        <v>#NAME?</v>
      </c>
      <c r="K29" s="2" t="e">
        <f ca="1">_xll.ESQuote("ADVANIHOTR.EQ-NSE","Low")</f>
        <v>#NAME?</v>
      </c>
      <c r="L29" s="2" t="e">
        <f ca="1">_xll.ESQuote("ADVANIHOTR.EQ-NSE","Open")</f>
        <v>#NAME?</v>
      </c>
      <c r="M29" s="2" t="e">
        <f ca="1">_xll.ESQuote("ADVANIHOTR.EQ-NSE","PrevPrice")</f>
        <v>#NAME?</v>
      </c>
      <c r="N29" s="2" t="e">
        <f ca="1">_xll.ESQuote("ADVANIHOTR.EQ-NSE","Symbol")</f>
        <v>#NAME?</v>
      </c>
      <c r="O29" s="2" t="e">
        <f ca="1">_xll.ESQuote("ADVANIHOTR.EQ-NSE","Volume")</f>
        <v>#NAME?</v>
      </c>
    </row>
    <row r="30" spans="1:15" x14ac:dyDescent="0.25">
      <c r="A30" s="1" t="s">
        <v>42</v>
      </c>
      <c r="B30" s="2" t="e">
        <f ca="1">_xll.ESQuote("ADVANTA.EQ-NSE","% Change")</f>
        <v>#NAME?</v>
      </c>
      <c r="C30" s="2" t="e">
        <f ca="1">_xll.ESQuote("ADVANTA.EQ-NSE","Change")</f>
        <v>#NAME?</v>
      </c>
      <c r="D30" s="2" t="e">
        <f ca="1">_xll.ESQuote("ADVANTA.EQ-NSE","Close")</f>
        <v>#NAME?</v>
      </c>
      <c r="E30" s="2" t="e">
        <f ca="1">_xll.ESQuote("ADVANTA.EQ-NSE","Company")</f>
        <v>#NAME?</v>
      </c>
      <c r="F30" s="2" t="e">
        <f ca="1">_xll.ESQuote("ADVANTA.EQ-NSE","Description")</f>
        <v>#NAME?</v>
      </c>
      <c r="G30" s="2" t="e">
        <f ca="1">_xll.ESQuote("ADVANTA.EQ-NSE","Exchange")</f>
        <v>#NAME?</v>
      </c>
      <c r="H30" s="2" t="e">
        <f ca="1">_xll.ESQuote("ADVANTA.EQ-NSE","High")</f>
        <v>#NAME?</v>
      </c>
      <c r="I30" s="2" t="e">
        <f ca="1">_xll.ESQuote("ADVANTA.EQ-NSE","Last")</f>
        <v>#NAME?</v>
      </c>
      <c r="J30" s="4" t="e">
        <f ca="1">_xll.ESQuote("ADVANTA.EQ-NSE","Last_Time")</f>
        <v>#NAME?</v>
      </c>
      <c r="K30" s="2" t="e">
        <f ca="1">_xll.ESQuote("ADVANTA.EQ-NSE","Low")</f>
        <v>#NAME?</v>
      </c>
      <c r="L30" s="2" t="e">
        <f ca="1">_xll.ESQuote("ADVANTA.EQ-NSE","Open")</f>
        <v>#NAME?</v>
      </c>
      <c r="M30" s="2" t="e">
        <f ca="1">_xll.ESQuote("ADVANTA.EQ-NSE","PrevPrice")</f>
        <v>#NAME?</v>
      </c>
      <c r="N30" s="2" t="e">
        <f ca="1">_xll.ESQuote("ADVANTA.EQ-NSE","Symbol")</f>
        <v>#NAME?</v>
      </c>
      <c r="O30" s="2" t="e">
        <f ca="1">_xll.ESQuote("ADVANTA.EQ-NSE","Volume")</f>
        <v>#NAME?</v>
      </c>
    </row>
    <row r="31" spans="1:15" x14ac:dyDescent="0.25">
      <c r="A31" s="1" t="s">
        <v>43</v>
      </c>
      <c r="B31" s="2" t="e">
        <f ca="1">_xll.ESQuote("AEGISCHEM.EQ-NSE","% Change")</f>
        <v>#NAME?</v>
      </c>
      <c r="C31" s="2" t="e">
        <f ca="1">_xll.ESQuote("AEGISCHEM.EQ-NSE","Change")</f>
        <v>#NAME?</v>
      </c>
      <c r="D31" s="2" t="e">
        <f ca="1">_xll.ESQuote("AEGISCHEM.EQ-NSE","Close")</f>
        <v>#NAME?</v>
      </c>
      <c r="E31" s="2" t="e">
        <f ca="1">_xll.ESQuote("AEGISCHEM.EQ-NSE","Company")</f>
        <v>#NAME?</v>
      </c>
      <c r="F31" s="2" t="e">
        <f ca="1">_xll.ESQuote("AEGISCHEM.EQ-NSE","Description")</f>
        <v>#NAME?</v>
      </c>
      <c r="G31" s="2" t="e">
        <f ca="1">_xll.ESQuote("AEGISCHEM.EQ-NSE","Exchange")</f>
        <v>#NAME?</v>
      </c>
      <c r="H31" s="2" t="e">
        <f ca="1">_xll.ESQuote("AEGISCHEM.EQ-NSE","High")</f>
        <v>#NAME?</v>
      </c>
      <c r="I31" s="2" t="e">
        <f ca="1">_xll.ESQuote("AEGISCHEM.EQ-NSE","Last")</f>
        <v>#NAME?</v>
      </c>
      <c r="J31" s="4" t="e">
        <f ca="1">_xll.ESQuote("AEGISCHEM.EQ-NSE","Last_Time")</f>
        <v>#NAME?</v>
      </c>
      <c r="K31" s="2" t="e">
        <f ca="1">_xll.ESQuote("AEGISCHEM.EQ-NSE","Low")</f>
        <v>#NAME?</v>
      </c>
      <c r="L31" s="2" t="e">
        <f ca="1">_xll.ESQuote("AEGISCHEM.EQ-NSE","Open")</f>
        <v>#NAME?</v>
      </c>
      <c r="M31" s="2" t="e">
        <f ca="1">_xll.ESQuote("AEGISCHEM.EQ-NSE","PrevPrice")</f>
        <v>#NAME?</v>
      </c>
      <c r="N31" s="2" t="e">
        <f ca="1">_xll.ESQuote("AEGISCHEM.EQ-NSE","Symbol")</f>
        <v>#NAME?</v>
      </c>
      <c r="O31" s="2" t="e">
        <f ca="1">_xll.ESQuote("AEGISCHEM.EQ-NSE","Volume")</f>
        <v>#NAME?</v>
      </c>
    </row>
    <row r="32" spans="1:15" x14ac:dyDescent="0.25">
      <c r="A32" s="1" t="s">
        <v>44</v>
      </c>
      <c r="B32" s="2" t="e">
        <f ca="1">_xll.ESQuote("AFL.EQ-NSE","% Change")</f>
        <v>#NAME?</v>
      </c>
      <c r="C32" s="2" t="e">
        <f ca="1">_xll.ESQuote("AFL.EQ-NSE","Change")</f>
        <v>#NAME?</v>
      </c>
      <c r="D32" s="2" t="e">
        <f ca="1">_xll.ESQuote("AFL.EQ-NSE","Close")</f>
        <v>#NAME?</v>
      </c>
      <c r="E32" s="2" t="e">
        <f ca="1">_xll.ESQuote("AFL.EQ-NSE","Company")</f>
        <v>#NAME?</v>
      </c>
      <c r="F32" s="2" t="e">
        <f ca="1">_xll.ESQuote("AFL.EQ-NSE","Description")</f>
        <v>#NAME?</v>
      </c>
      <c r="G32" s="2" t="e">
        <f ca="1">_xll.ESQuote("AFL.EQ-NSE","Exchange")</f>
        <v>#NAME?</v>
      </c>
      <c r="H32" s="2" t="e">
        <f ca="1">_xll.ESQuote("AFL.EQ-NSE","High")</f>
        <v>#NAME?</v>
      </c>
      <c r="I32" s="2" t="e">
        <f ca="1">_xll.ESQuote("AFL.EQ-NSE","Last")</f>
        <v>#NAME?</v>
      </c>
      <c r="J32" s="4" t="e">
        <f ca="1">_xll.ESQuote("AFL.EQ-NSE","Last_Time")</f>
        <v>#NAME?</v>
      </c>
      <c r="K32" s="2" t="e">
        <f ca="1">_xll.ESQuote("AFL.EQ-NSE","Low")</f>
        <v>#NAME?</v>
      </c>
      <c r="L32" s="2" t="e">
        <f ca="1">_xll.ESQuote("AFL.EQ-NSE","Open")</f>
        <v>#NAME?</v>
      </c>
      <c r="M32" s="2" t="e">
        <f ca="1">_xll.ESQuote("AFL.EQ-NSE","PrevPrice")</f>
        <v>#NAME?</v>
      </c>
      <c r="N32" s="2" t="e">
        <f ca="1">_xll.ESQuote("AFL.EQ-NSE","Symbol")</f>
        <v>#NAME?</v>
      </c>
      <c r="O32" s="2" t="e">
        <f ca="1">_xll.ESQuote("AFL.EQ-NSE","Volume")</f>
        <v>#NAME?</v>
      </c>
    </row>
    <row r="33" spans="1:15" x14ac:dyDescent="0.25">
      <c r="A33" s="1" t="s">
        <v>45</v>
      </c>
      <c r="B33" s="2" t="e">
        <f ca="1">_xll.ESQuote("AGARIND.EQ-NSE","% Change")</f>
        <v>#NAME?</v>
      </c>
      <c r="C33" s="2" t="e">
        <f ca="1">_xll.ESQuote("AGARIND.EQ-NSE","Change")</f>
        <v>#NAME?</v>
      </c>
      <c r="D33" s="2" t="e">
        <f ca="1">_xll.ESQuote("AGARIND.EQ-NSE","Close")</f>
        <v>#NAME?</v>
      </c>
      <c r="E33" s="2" t="e">
        <f ca="1">_xll.ESQuote("AGARIND.EQ-NSE","Company")</f>
        <v>#NAME?</v>
      </c>
      <c r="F33" s="2" t="e">
        <f ca="1">_xll.ESQuote("AGARIND.EQ-NSE","Description")</f>
        <v>#NAME?</v>
      </c>
      <c r="G33" s="2" t="e">
        <f ca="1">_xll.ESQuote("AGARIND.EQ-NSE","Exchange")</f>
        <v>#NAME?</v>
      </c>
      <c r="H33" s="2" t="e">
        <f ca="1">_xll.ESQuote("AGARIND.EQ-NSE","High")</f>
        <v>#NAME?</v>
      </c>
      <c r="I33" s="2" t="e">
        <f ca="1">_xll.ESQuote("AGARIND.EQ-NSE","Last")</f>
        <v>#NAME?</v>
      </c>
      <c r="J33" s="4" t="e">
        <f ca="1">_xll.ESQuote("AGARIND.EQ-NSE","Last_Time")</f>
        <v>#NAME?</v>
      </c>
      <c r="K33" s="2" t="e">
        <f ca="1">_xll.ESQuote("AGARIND.EQ-NSE","Low")</f>
        <v>#NAME?</v>
      </c>
      <c r="L33" s="2" t="e">
        <f ca="1">_xll.ESQuote("AGARIND.EQ-NSE","Open")</f>
        <v>#NAME?</v>
      </c>
      <c r="M33" s="2" t="e">
        <f ca="1">_xll.ESQuote("AGARIND.EQ-NSE","PrevPrice")</f>
        <v>#NAME?</v>
      </c>
      <c r="N33" s="2" t="e">
        <f ca="1">_xll.ESQuote("AGARIND.EQ-NSE","Symbol")</f>
        <v>#NAME?</v>
      </c>
      <c r="O33" s="2" t="e">
        <f ca="1">_xll.ESQuote("AGARIND.EQ-NSE","Volume")</f>
        <v>#NAME?</v>
      </c>
    </row>
    <row r="34" spans="1:15" x14ac:dyDescent="0.25">
      <c r="A34" s="1" t="s">
        <v>46</v>
      </c>
      <c r="B34" s="2" t="e">
        <f ca="1">_xll.ESQuote("AGCNET.EQ-NSE","% Change")</f>
        <v>#NAME?</v>
      </c>
      <c r="C34" s="2" t="e">
        <f ca="1">_xll.ESQuote("AGCNET.EQ-NSE","Change")</f>
        <v>#NAME?</v>
      </c>
      <c r="D34" s="2" t="e">
        <f ca="1">_xll.ESQuote("AGCNET.EQ-NSE","Close")</f>
        <v>#NAME?</v>
      </c>
      <c r="E34" s="2" t="e">
        <f ca="1">_xll.ESQuote("AGCNET.EQ-NSE","Company")</f>
        <v>#NAME?</v>
      </c>
      <c r="F34" s="2" t="e">
        <f ca="1">_xll.ESQuote("AGCNET.EQ-NSE","Description")</f>
        <v>#NAME?</v>
      </c>
      <c r="G34" s="2" t="e">
        <f ca="1">_xll.ESQuote("AGCNET.EQ-NSE","Exchange")</f>
        <v>#NAME?</v>
      </c>
      <c r="H34" s="2" t="e">
        <f ca="1">_xll.ESQuote("AGCNET.EQ-NSE","High")</f>
        <v>#NAME?</v>
      </c>
      <c r="I34" s="2" t="e">
        <f ca="1">_xll.ESQuote("AGCNET.EQ-NSE","Last")</f>
        <v>#NAME?</v>
      </c>
      <c r="J34" s="4" t="e">
        <f ca="1">_xll.ESQuote("AGCNET.EQ-NSE","Last_Time")</f>
        <v>#NAME?</v>
      </c>
      <c r="K34" s="2" t="e">
        <f ca="1">_xll.ESQuote("AGCNET.EQ-NSE","Low")</f>
        <v>#NAME?</v>
      </c>
      <c r="L34" s="2" t="e">
        <f ca="1">_xll.ESQuote("AGCNET.EQ-NSE","Open")</f>
        <v>#NAME?</v>
      </c>
      <c r="M34" s="2" t="e">
        <f ca="1">_xll.ESQuote("AGCNET.EQ-NSE","PrevPrice")</f>
        <v>#NAME?</v>
      </c>
      <c r="N34" s="2" t="e">
        <f ca="1">_xll.ESQuote("AGCNET.EQ-NSE","Symbol")</f>
        <v>#NAME?</v>
      </c>
      <c r="O34" s="2" t="e">
        <f ca="1">_xll.ESQuote("AGCNET.EQ-NSE","Volume")</f>
        <v>#NAME?</v>
      </c>
    </row>
    <row r="35" spans="1:15" x14ac:dyDescent="0.25">
      <c r="A35" s="1" t="s">
        <v>47</v>
      </c>
      <c r="B35" s="2" t="e">
        <f ca="1">_xll.ESQuote("AGRITECH.EQ-NSE","% Change")</f>
        <v>#NAME?</v>
      </c>
      <c r="C35" s="2" t="e">
        <f ca="1">_xll.ESQuote("AGRITECH.EQ-NSE","Change")</f>
        <v>#NAME?</v>
      </c>
      <c r="D35" s="2" t="e">
        <f ca="1">_xll.ESQuote("AGRITECH.EQ-NSE","Close")</f>
        <v>#NAME?</v>
      </c>
      <c r="E35" s="2" t="e">
        <f ca="1">_xll.ESQuote("AGRITECH.EQ-NSE","Company")</f>
        <v>#NAME?</v>
      </c>
      <c r="F35" s="2" t="e">
        <f ca="1">_xll.ESQuote("AGRITECH.EQ-NSE","Description")</f>
        <v>#NAME?</v>
      </c>
      <c r="G35" s="2" t="e">
        <f ca="1">_xll.ESQuote("AGRITECH.EQ-NSE","Exchange")</f>
        <v>#NAME?</v>
      </c>
      <c r="H35" s="2" t="e">
        <f ca="1">_xll.ESQuote("AGRITECH.EQ-NSE","High")</f>
        <v>#NAME?</v>
      </c>
      <c r="I35" s="2" t="e">
        <f ca="1">_xll.ESQuote("AGRITECH.EQ-NSE","Last")</f>
        <v>#NAME?</v>
      </c>
      <c r="J35" s="4" t="e">
        <f ca="1">_xll.ESQuote("AGRITECH.EQ-NSE","Last_Time")</f>
        <v>#NAME?</v>
      </c>
      <c r="K35" s="2" t="e">
        <f ca="1">_xll.ESQuote("AGRITECH.EQ-NSE","Low")</f>
        <v>#NAME?</v>
      </c>
      <c r="L35" s="2" t="e">
        <f ca="1">_xll.ESQuote("AGRITECH.EQ-NSE","Open")</f>
        <v>#NAME?</v>
      </c>
      <c r="M35" s="2" t="e">
        <f ca="1">_xll.ESQuote("AGRITECH.EQ-NSE","PrevPrice")</f>
        <v>#NAME?</v>
      </c>
      <c r="N35" s="2" t="e">
        <f ca="1">_xll.ESQuote("AGRITECH.EQ-NSE","Symbol")</f>
        <v>#NAME?</v>
      </c>
      <c r="O35" s="2" t="e">
        <f ca="1">_xll.ESQuote("AGRITECH.EQ-NSE","Volume")</f>
        <v>#NAME?</v>
      </c>
    </row>
    <row r="36" spans="1:15" x14ac:dyDescent="0.25">
      <c r="A36" s="1" t="s">
        <v>48</v>
      </c>
      <c r="B36" s="2" t="e">
        <f ca="1">_xll.ESQuote("AGRODUTCH.EQ-NSE","% Change")</f>
        <v>#NAME?</v>
      </c>
      <c r="C36" s="2" t="e">
        <f ca="1">_xll.ESQuote("AGRODUTCH.EQ-NSE","Change")</f>
        <v>#NAME?</v>
      </c>
      <c r="D36" s="2" t="e">
        <f ca="1">_xll.ESQuote("AGRODUTCH.EQ-NSE","Close")</f>
        <v>#NAME?</v>
      </c>
      <c r="E36" s="2" t="e">
        <f ca="1">_xll.ESQuote("AGRODUTCH.EQ-NSE","Company")</f>
        <v>#NAME?</v>
      </c>
      <c r="F36" s="2" t="e">
        <f ca="1">_xll.ESQuote("AGRODUTCH.EQ-NSE","Description")</f>
        <v>#NAME?</v>
      </c>
      <c r="G36" s="2" t="e">
        <f ca="1">_xll.ESQuote("AGRODUTCH.EQ-NSE","Exchange")</f>
        <v>#NAME?</v>
      </c>
      <c r="H36" s="2" t="e">
        <f ca="1">_xll.ESQuote("AGRODUTCH.EQ-NSE","High")</f>
        <v>#NAME?</v>
      </c>
      <c r="I36" s="2" t="e">
        <f ca="1">_xll.ESQuote("AGRODUTCH.EQ-NSE","Last")</f>
        <v>#NAME?</v>
      </c>
      <c r="J36" s="4" t="e">
        <f ca="1">_xll.ESQuote("AGRODUTCH.EQ-NSE","Last_Time")</f>
        <v>#NAME?</v>
      </c>
      <c r="K36" s="2" t="e">
        <f ca="1">_xll.ESQuote("AGRODUTCH.EQ-NSE","Low")</f>
        <v>#NAME?</v>
      </c>
      <c r="L36" s="2" t="e">
        <f ca="1">_xll.ESQuote("AGRODUTCH.EQ-NSE","Open")</f>
        <v>#NAME?</v>
      </c>
      <c r="M36" s="2" t="e">
        <f ca="1">_xll.ESQuote("AGRODUTCH.EQ-NSE","PrevPrice")</f>
        <v>#NAME?</v>
      </c>
      <c r="N36" s="2" t="e">
        <f ca="1">_xll.ESQuote("AGRODUTCH.EQ-NSE","Symbol")</f>
        <v>#NAME?</v>
      </c>
      <c r="O36" s="2" t="e">
        <f ca="1">_xll.ESQuote("AGRODUTCH.EQ-NSE","Volume")</f>
        <v>#NAME?</v>
      </c>
    </row>
    <row r="37" spans="1:15" x14ac:dyDescent="0.25">
      <c r="A37" s="1" t="s">
        <v>49</v>
      </c>
      <c r="B37" s="2" t="e">
        <f ca="1">_xll.ESQuote("AHLEAST.EQ-NSE","% Change")</f>
        <v>#NAME?</v>
      </c>
      <c r="C37" s="2" t="e">
        <f ca="1">_xll.ESQuote("AHLEAST.EQ-NSE","Change")</f>
        <v>#NAME?</v>
      </c>
      <c r="D37" s="2" t="e">
        <f ca="1">_xll.ESQuote("AHLEAST.EQ-NSE","Close")</f>
        <v>#NAME?</v>
      </c>
      <c r="E37" s="2" t="e">
        <f ca="1">_xll.ESQuote("AHLEAST.EQ-NSE","Company")</f>
        <v>#NAME?</v>
      </c>
      <c r="F37" s="2" t="e">
        <f ca="1">_xll.ESQuote("AHLEAST.EQ-NSE","Description")</f>
        <v>#NAME?</v>
      </c>
      <c r="G37" s="2" t="e">
        <f ca="1">_xll.ESQuote("AHLEAST.EQ-NSE","Exchange")</f>
        <v>#NAME?</v>
      </c>
      <c r="H37" s="2" t="e">
        <f ca="1">_xll.ESQuote("AHLEAST.EQ-NSE","High")</f>
        <v>#NAME?</v>
      </c>
      <c r="I37" s="2" t="e">
        <f ca="1">_xll.ESQuote("AHLEAST.EQ-NSE","Last")</f>
        <v>#NAME?</v>
      </c>
      <c r="J37" s="4" t="e">
        <f ca="1">_xll.ESQuote("AHLEAST.EQ-NSE","Last_Time")</f>
        <v>#NAME?</v>
      </c>
      <c r="K37" s="2" t="e">
        <f ca="1">_xll.ESQuote("AHLEAST.EQ-NSE","Low")</f>
        <v>#NAME?</v>
      </c>
      <c r="L37" s="2" t="e">
        <f ca="1">_xll.ESQuote("AHLEAST.EQ-NSE","Open")</f>
        <v>#NAME?</v>
      </c>
      <c r="M37" s="2" t="e">
        <f ca="1">_xll.ESQuote("AHLEAST.EQ-NSE","PrevPrice")</f>
        <v>#NAME?</v>
      </c>
      <c r="N37" s="2" t="e">
        <f ca="1">_xll.ESQuote("AHLEAST.EQ-NSE","Symbol")</f>
        <v>#NAME?</v>
      </c>
      <c r="O37" s="2" t="e">
        <f ca="1">_xll.ESQuote("AHLEAST.EQ-NSE","Volume")</f>
        <v>#NAME?</v>
      </c>
    </row>
    <row r="38" spans="1:15" x14ac:dyDescent="0.25">
      <c r="A38" s="1" t="s">
        <v>50</v>
      </c>
      <c r="B38" s="2" t="e">
        <f ca="1">_xll.ESQuote("AHLUCONT.EQ-NSE","% Change")</f>
        <v>#NAME?</v>
      </c>
      <c r="C38" s="2" t="e">
        <f ca="1">_xll.ESQuote("AHLUCONT.EQ-NSE","Change")</f>
        <v>#NAME?</v>
      </c>
      <c r="D38" s="2" t="e">
        <f ca="1">_xll.ESQuote("AHLUCONT.EQ-NSE","Close")</f>
        <v>#NAME?</v>
      </c>
      <c r="E38" s="2" t="e">
        <f ca="1">_xll.ESQuote("AHLUCONT.EQ-NSE","Company")</f>
        <v>#NAME?</v>
      </c>
      <c r="F38" s="2" t="e">
        <f ca="1">_xll.ESQuote("AHLUCONT.EQ-NSE","Description")</f>
        <v>#NAME?</v>
      </c>
      <c r="G38" s="2" t="e">
        <f ca="1">_xll.ESQuote("AHLUCONT.EQ-NSE","Exchange")</f>
        <v>#NAME?</v>
      </c>
      <c r="H38" s="2" t="e">
        <f ca="1">_xll.ESQuote("AHLUCONT.EQ-NSE","High")</f>
        <v>#NAME?</v>
      </c>
      <c r="I38" s="2" t="e">
        <f ca="1">_xll.ESQuote("AHLUCONT.EQ-NSE","Last")</f>
        <v>#NAME?</v>
      </c>
      <c r="J38" s="4" t="e">
        <f ca="1">_xll.ESQuote("AHLUCONT.EQ-NSE","Last_Time")</f>
        <v>#NAME?</v>
      </c>
      <c r="K38" s="2" t="e">
        <f ca="1">_xll.ESQuote("AHLUCONT.EQ-NSE","Low")</f>
        <v>#NAME?</v>
      </c>
      <c r="L38" s="2" t="e">
        <f ca="1">_xll.ESQuote("AHLUCONT.EQ-NSE","Open")</f>
        <v>#NAME?</v>
      </c>
      <c r="M38" s="2" t="e">
        <f ca="1">_xll.ESQuote("AHLUCONT.EQ-NSE","PrevPrice")</f>
        <v>#NAME?</v>
      </c>
      <c r="N38" s="2" t="e">
        <f ca="1">_xll.ESQuote("AHLUCONT.EQ-NSE","Symbol")</f>
        <v>#NAME?</v>
      </c>
      <c r="O38" s="2" t="e">
        <f ca="1">_xll.ESQuote("AHLUCONT.EQ-NSE","Volume")</f>
        <v>#NAME?</v>
      </c>
    </row>
    <row r="39" spans="1:15" x14ac:dyDescent="0.25">
      <c r="A39" s="1" t="s">
        <v>51</v>
      </c>
      <c r="B39" s="2" t="e">
        <f ca="1">_xll.ESQuote("AHLWEST.EQ-NSE","% Change")</f>
        <v>#NAME?</v>
      </c>
      <c r="C39" s="2" t="e">
        <f ca="1">_xll.ESQuote("AHLWEST.EQ-NSE","Change")</f>
        <v>#NAME?</v>
      </c>
      <c r="D39" s="2" t="e">
        <f ca="1">_xll.ESQuote("AHLWEST.EQ-NSE","Close")</f>
        <v>#NAME?</v>
      </c>
      <c r="E39" s="2" t="e">
        <f ca="1">_xll.ESQuote("AHLWEST.EQ-NSE","Company")</f>
        <v>#NAME?</v>
      </c>
      <c r="F39" s="2" t="e">
        <f ca="1">_xll.ESQuote("AHLWEST.EQ-NSE","Description")</f>
        <v>#NAME?</v>
      </c>
      <c r="G39" s="2" t="e">
        <f ca="1">_xll.ESQuote("AHLWEST.EQ-NSE","Exchange")</f>
        <v>#NAME?</v>
      </c>
      <c r="H39" s="2" t="e">
        <f ca="1">_xll.ESQuote("AHLWEST.EQ-NSE","High")</f>
        <v>#NAME?</v>
      </c>
      <c r="I39" s="2" t="e">
        <f ca="1">_xll.ESQuote("AHLWEST.EQ-NSE","Last")</f>
        <v>#NAME?</v>
      </c>
      <c r="J39" s="4" t="e">
        <f ca="1">_xll.ESQuote("AHLWEST.EQ-NSE","Last_Time")</f>
        <v>#NAME?</v>
      </c>
      <c r="K39" s="2" t="e">
        <f ca="1">_xll.ESQuote("AHLWEST.EQ-NSE","Low")</f>
        <v>#NAME?</v>
      </c>
      <c r="L39" s="2" t="e">
        <f ca="1">_xll.ESQuote("AHLWEST.EQ-NSE","Open")</f>
        <v>#NAME?</v>
      </c>
      <c r="M39" s="2" t="e">
        <f ca="1">_xll.ESQuote("AHLWEST.EQ-NSE","PrevPrice")</f>
        <v>#NAME?</v>
      </c>
      <c r="N39" s="2" t="e">
        <f ca="1">_xll.ESQuote("AHLWEST.EQ-NSE","Symbol")</f>
        <v>#NAME?</v>
      </c>
      <c r="O39" s="2" t="e">
        <f ca="1">_xll.ESQuote("AHLWEST.EQ-NSE","Volume")</f>
        <v>#NAME?</v>
      </c>
    </row>
    <row r="40" spans="1:15" x14ac:dyDescent="0.25">
      <c r="A40" s="1" t="s">
        <v>52</v>
      </c>
      <c r="B40" s="2" t="e">
        <f ca="1">_xll.ESQuote("AIAENG.EQ-NSE","% Change")</f>
        <v>#NAME?</v>
      </c>
      <c r="C40" s="2" t="e">
        <f ca="1">_xll.ESQuote("AIAENG.EQ-NSE","Change")</f>
        <v>#NAME?</v>
      </c>
      <c r="D40" s="2" t="e">
        <f ca="1">_xll.ESQuote("AIAENG.EQ-NSE","Close")</f>
        <v>#NAME?</v>
      </c>
      <c r="E40" s="2" t="e">
        <f ca="1">_xll.ESQuote("AIAENG.EQ-NSE","Company")</f>
        <v>#NAME?</v>
      </c>
      <c r="F40" s="2" t="e">
        <f ca="1">_xll.ESQuote("AIAENG.EQ-NSE","Description")</f>
        <v>#NAME?</v>
      </c>
      <c r="G40" s="2" t="e">
        <f ca="1">_xll.ESQuote("AIAENG.EQ-NSE","Exchange")</f>
        <v>#NAME?</v>
      </c>
      <c r="H40" s="2" t="e">
        <f ca="1">_xll.ESQuote("AIAENG.EQ-NSE","High")</f>
        <v>#NAME?</v>
      </c>
      <c r="I40" s="2" t="e">
        <f ca="1">_xll.ESQuote("AIAENG.EQ-NSE","Last")</f>
        <v>#NAME?</v>
      </c>
      <c r="J40" s="4" t="e">
        <f ca="1">_xll.ESQuote("AIAENG.EQ-NSE","Last_Time")</f>
        <v>#NAME?</v>
      </c>
      <c r="K40" s="2" t="e">
        <f ca="1">_xll.ESQuote("AIAENG.EQ-NSE","Low")</f>
        <v>#NAME?</v>
      </c>
      <c r="L40" s="2" t="e">
        <f ca="1">_xll.ESQuote("AIAENG.EQ-NSE","Open")</f>
        <v>#NAME?</v>
      </c>
      <c r="M40" s="2" t="e">
        <f ca="1">_xll.ESQuote("AIAENG.EQ-NSE","PrevPrice")</f>
        <v>#NAME?</v>
      </c>
      <c r="N40" s="2" t="e">
        <f ca="1">_xll.ESQuote("AIAENG.EQ-NSE","Symbol")</f>
        <v>#NAME?</v>
      </c>
      <c r="O40" s="2" t="e">
        <f ca="1">_xll.ESQuote("AIAENG.EQ-NSE","Volume")</f>
        <v>#NAME?</v>
      </c>
    </row>
    <row r="41" spans="1:15" x14ac:dyDescent="0.25">
      <c r="A41" s="1" t="s">
        <v>53</v>
      </c>
      <c r="B41" s="2" t="e">
        <f ca="1">_xll.ESQuote("AICHAMP.EQ-NSE","% Change")</f>
        <v>#NAME?</v>
      </c>
      <c r="C41" s="2" t="e">
        <f ca="1">_xll.ESQuote("AICHAMP.EQ-NSE","Change")</f>
        <v>#NAME?</v>
      </c>
      <c r="D41" s="2" t="e">
        <f ca="1">_xll.ESQuote("AICHAMP.EQ-NSE","Close")</f>
        <v>#NAME?</v>
      </c>
      <c r="E41" s="2" t="e">
        <f ca="1">_xll.ESQuote("AICHAMP.EQ-NSE","Company")</f>
        <v>#NAME?</v>
      </c>
      <c r="F41" s="2" t="e">
        <f ca="1">_xll.ESQuote("AICHAMP.EQ-NSE","Description")</f>
        <v>#NAME?</v>
      </c>
      <c r="G41" s="2" t="e">
        <f ca="1">_xll.ESQuote("AICHAMP.EQ-NSE","Exchange")</f>
        <v>#NAME?</v>
      </c>
      <c r="H41" s="2" t="e">
        <f ca="1">_xll.ESQuote("AICHAMP.EQ-NSE","High")</f>
        <v>#NAME?</v>
      </c>
      <c r="I41" s="2" t="e">
        <f ca="1">_xll.ESQuote("AICHAMP.EQ-NSE","Last")</f>
        <v>#NAME?</v>
      </c>
      <c r="J41" s="4" t="e">
        <f ca="1">_xll.ESQuote("AICHAMP.EQ-NSE","Last_Time")</f>
        <v>#NAME?</v>
      </c>
      <c r="K41" s="2" t="e">
        <f ca="1">_xll.ESQuote("AICHAMP.EQ-NSE","Low")</f>
        <v>#NAME?</v>
      </c>
      <c r="L41" s="2" t="e">
        <f ca="1">_xll.ESQuote("AICHAMP.EQ-NSE","Open")</f>
        <v>#NAME?</v>
      </c>
      <c r="M41" s="2" t="e">
        <f ca="1">_xll.ESQuote("AICHAMP.EQ-NSE","PrevPrice")</f>
        <v>#NAME?</v>
      </c>
      <c r="N41" s="2" t="e">
        <f ca="1">_xll.ESQuote("AICHAMP.EQ-NSE","Symbol")</f>
        <v>#NAME?</v>
      </c>
      <c r="O41" s="2" t="e">
        <f ca="1">_xll.ESQuote("AICHAMP.EQ-NSE","Volume")</f>
        <v>#NAME?</v>
      </c>
    </row>
    <row r="42" spans="1:15" x14ac:dyDescent="0.25">
      <c r="A42" s="1" t="s">
        <v>54</v>
      </c>
      <c r="B42" s="2" t="e">
        <f ca="1">_xll.ESQuote("AIL.EQ-NSE","% Change")</f>
        <v>#NAME?</v>
      </c>
      <c r="C42" s="2" t="e">
        <f ca="1">_xll.ESQuote("AIL.EQ-NSE","Change")</f>
        <v>#NAME?</v>
      </c>
      <c r="D42" s="2" t="e">
        <f ca="1">_xll.ESQuote("AIL.EQ-NSE","Close")</f>
        <v>#NAME?</v>
      </c>
      <c r="E42" s="2" t="e">
        <f ca="1">_xll.ESQuote("AIL.EQ-NSE","Company")</f>
        <v>#NAME?</v>
      </c>
      <c r="F42" s="2" t="e">
        <f ca="1">_xll.ESQuote("AIL.EQ-NSE","Description")</f>
        <v>#NAME?</v>
      </c>
      <c r="G42" s="2" t="e">
        <f ca="1">_xll.ESQuote("AIL.EQ-NSE","Exchange")</f>
        <v>#NAME?</v>
      </c>
      <c r="H42" s="2" t="e">
        <f ca="1">_xll.ESQuote("AIL.EQ-NSE","High")</f>
        <v>#NAME?</v>
      </c>
      <c r="I42" s="2" t="e">
        <f ca="1">_xll.ESQuote("AIL.EQ-NSE","Last")</f>
        <v>#NAME?</v>
      </c>
      <c r="J42" s="4" t="e">
        <f ca="1">_xll.ESQuote("AIL.EQ-NSE","Last_Time")</f>
        <v>#NAME?</v>
      </c>
      <c r="K42" s="2" t="e">
        <f ca="1">_xll.ESQuote("AIL.EQ-NSE","Low")</f>
        <v>#NAME?</v>
      </c>
      <c r="L42" s="2" t="e">
        <f ca="1">_xll.ESQuote("AIL.EQ-NSE","Open")</f>
        <v>#NAME?</v>
      </c>
      <c r="M42" s="2" t="e">
        <f ca="1">_xll.ESQuote("AIL.EQ-NSE","PrevPrice")</f>
        <v>#NAME?</v>
      </c>
      <c r="N42" s="2" t="e">
        <f ca="1">_xll.ESQuote("AIL.EQ-NSE","Symbol")</f>
        <v>#NAME?</v>
      </c>
      <c r="O42" s="2" t="e">
        <f ca="1">_xll.ESQuote("AIL.EQ-NSE","Volume")</f>
        <v>#NAME?</v>
      </c>
    </row>
    <row r="43" spans="1:15" x14ac:dyDescent="0.25">
      <c r="A43" s="1" t="s">
        <v>55</v>
      </c>
      <c r="B43" s="2" t="e">
        <f ca="1">_xll.ESQuote("AJANTPHARM.EQ-NSE","% Change")</f>
        <v>#NAME?</v>
      </c>
      <c r="C43" s="2" t="e">
        <f ca="1">_xll.ESQuote("AJANTPHARM.EQ-NSE","Change")</f>
        <v>#NAME?</v>
      </c>
      <c r="D43" s="2" t="e">
        <f ca="1">_xll.ESQuote("AJANTPHARM.EQ-NSE","Close")</f>
        <v>#NAME?</v>
      </c>
      <c r="E43" s="2" t="e">
        <f ca="1">_xll.ESQuote("AJANTPHARM.EQ-NSE","Company")</f>
        <v>#NAME?</v>
      </c>
      <c r="F43" s="2" t="e">
        <f ca="1">_xll.ESQuote("AJANTPHARM.EQ-NSE","Description")</f>
        <v>#NAME?</v>
      </c>
      <c r="G43" s="2" t="e">
        <f ca="1">_xll.ESQuote("AJANTPHARM.EQ-NSE","Exchange")</f>
        <v>#NAME?</v>
      </c>
      <c r="H43" s="2" t="e">
        <f ca="1">_xll.ESQuote("AJANTPHARM.EQ-NSE","High")</f>
        <v>#NAME?</v>
      </c>
      <c r="I43" s="2" t="e">
        <f ca="1">_xll.ESQuote("AJANTPHARM.EQ-NSE","Last")</f>
        <v>#NAME?</v>
      </c>
      <c r="J43" s="4" t="e">
        <f ca="1">_xll.ESQuote("AJANTPHARM.EQ-NSE","Last_Time")</f>
        <v>#NAME?</v>
      </c>
      <c r="K43" s="2" t="e">
        <f ca="1">_xll.ESQuote("AJANTPHARM.EQ-NSE","Low")</f>
        <v>#NAME?</v>
      </c>
      <c r="L43" s="2" t="e">
        <f ca="1">_xll.ESQuote("AJANTPHARM.EQ-NSE","Open")</f>
        <v>#NAME?</v>
      </c>
      <c r="M43" s="2" t="e">
        <f ca="1">_xll.ESQuote("AJANTPHARM.EQ-NSE","PrevPrice")</f>
        <v>#NAME?</v>
      </c>
      <c r="N43" s="2" t="e">
        <f ca="1">_xll.ESQuote("AJANTPHARM.EQ-NSE","Symbol")</f>
        <v>#NAME?</v>
      </c>
      <c r="O43" s="2" t="e">
        <f ca="1">_xll.ESQuote("AJANTPHARM.EQ-NSE","Volume")</f>
        <v>#NAME?</v>
      </c>
    </row>
    <row r="44" spans="1:15" x14ac:dyDescent="0.25">
      <c r="A44" s="1" t="s">
        <v>56</v>
      </c>
      <c r="B44" s="2" t="e">
        <f ca="1">_xll.ESQuote("AJMERA.EQ-NSE","% Change")</f>
        <v>#NAME?</v>
      </c>
      <c r="C44" s="2" t="e">
        <f ca="1">_xll.ESQuote("AJMERA.EQ-NSE","Change")</f>
        <v>#NAME?</v>
      </c>
      <c r="D44" s="2" t="e">
        <f ca="1">_xll.ESQuote("AJMERA.EQ-NSE","Close")</f>
        <v>#NAME?</v>
      </c>
      <c r="E44" s="2" t="e">
        <f ca="1">_xll.ESQuote("AJMERA.EQ-NSE","Company")</f>
        <v>#NAME?</v>
      </c>
      <c r="F44" s="2" t="e">
        <f ca="1">_xll.ESQuote("AJMERA.EQ-NSE","Description")</f>
        <v>#NAME?</v>
      </c>
      <c r="G44" s="2" t="e">
        <f ca="1">_xll.ESQuote("AJMERA.EQ-NSE","Exchange")</f>
        <v>#NAME?</v>
      </c>
      <c r="H44" s="2" t="e">
        <f ca="1">_xll.ESQuote("AJMERA.EQ-NSE","High")</f>
        <v>#NAME?</v>
      </c>
      <c r="I44" s="2" t="e">
        <f ca="1">_xll.ESQuote("AJMERA.EQ-NSE","Last")</f>
        <v>#NAME?</v>
      </c>
      <c r="J44" s="4" t="e">
        <f ca="1">_xll.ESQuote("AJMERA.EQ-NSE","Last_Time")</f>
        <v>#NAME?</v>
      </c>
      <c r="K44" s="2" t="e">
        <f ca="1">_xll.ESQuote("AJMERA.EQ-NSE","Low")</f>
        <v>#NAME?</v>
      </c>
      <c r="L44" s="2" t="e">
        <f ca="1">_xll.ESQuote("AJMERA.EQ-NSE","Open")</f>
        <v>#NAME?</v>
      </c>
      <c r="M44" s="2" t="e">
        <f ca="1">_xll.ESQuote("AJMERA.EQ-NSE","PrevPrice")</f>
        <v>#NAME?</v>
      </c>
      <c r="N44" s="2" t="e">
        <f ca="1">_xll.ESQuote("AJMERA.EQ-NSE","Symbol")</f>
        <v>#NAME?</v>
      </c>
      <c r="O44" s="2" t="e">
        <f ca="1">_xll.ESQuote("AJMERA.EQ-NSE","Volume")</f>
        <v>#NAME?</v>
      </c>
    </row>
    <row r="45" spans="1:15" x14ac:dyDescent="0.25">
      <c r="A45" s="1" t="s">
        <v>57</v>
      </c>
      <c r="B45" s="2" t="e">
        <f ca="1">_xll.ESQuote("AKSHOPTFBR.EQ-NSE","% Change")</f>
        <v>#NAME?</v>
      </c>
      <c r="C45" s="2" t="e">
        <f ca="1">_xll.ESQuote("AKSHOPTFBR.EQ-NSE","Change")</f>
        <v>#NAME?</v>
      </c>
      <c r="D45" s="2" t="e">
        <f ca="1">_xll.ESQuote("AKSHOPTFBR.EQ-NSE","Close")</f>
        <v>#NAME?</v>
      </c>
      <c r="E45" s="2" t="e">
        <f ca="1">_xll.ESQuote("AKSHOPTFBR.EQ-NSE","Company")</f>
        <v>#NAME?</v>
      </c>
      <c r="F45" s="2" t="e">
        <f ca="1">_xll.ESQuote("AKSHOPTFBR.EQ-NSE","Description")</f>
        <v>#NAME?</v>
      </c>
      <c r="G45" s="2" t="e">
        <f ca="1">_xll.ESQuote("AKSHOPTFBR.EQ-NSE","Exchange")</f>
        <v>#NAME?</v>
      </c>
      <c r="H45" s="2" t="e">
        <f ca="1">_xll.ESQuote("AKSHOPTFBR.EQ-NSE","High")</f>
        <v>#NAME?</v>
      </c>
      <c r="I45" s="2" t="e">
        <f ca="1">_xll.ESQuote("AKSHOPTFBR.EQ-NSE","Last")</f>
        <v>#NAME?</v>
      </c>
      <c r="J45" s="4" t="e">
        <f ca="1">_xll.ESQuote("AKSHOPTFBR.EQ-NSE","Last_Time")</f>
        <v>#NAME?</v>
      </c>
      <c r="K45" s="2" t="e">
        <f ca="1">_xll.ESQuote("AKSHOPTFBR.EQ-NSE","Low")</f>
        <v>#NAME?</v>
      </c>
      <c r="L45" s="2" t="e">
        <f ca="1">_xll.ESQuote("AKSHOPTFBR.EQ-NSE","Open")</f>
        <v>#NAME?</v>
      </c>
      <c r="M45" s="2" t="e">
        <f ca="1">_xll.ESQuote("AKSHOPTFBR.EQ-NSE","PrevPrice")</f>
        <v>#NAME?</v>
      </c>
      <c r="N45" s="2" t="e">
        <f ca="1">_xll.ESQuote("AKSHOPTFBR.EQ-NSE","Symbol")</f>
        <v>#NAME?</v>
      </c>
      <c r="O45" s="2" t="e">
        <f ca="1">_xll.ESQuote("AKSHOPTFBR.EQ-NSE","Volume")</f>
        <v>#NAME?</v>
      </c>
    </row>
    <row r="46" spans="1:15" x14ac:dyDescent="0.25">
      <c r="A46" s="1" t="s">
        <v>58</v>
      </c>
      <c r="B46" s="2" t="e">
        <f ca="1">_xll.ESQuote("AKZOINDIA.EQ-NSE","% Change")</f>
        <v>#NAME?</v>
      </c>
      <c r="C46" s="2" t="e">
        <f ca="1">_xll.ESQuote("AKZOINDIA.EQ-NSE","Change")</f>
        <v>#NAME?</v>
      </c>
      <c r="D46" s="2" t="e">
        <f ca="1">_xll.ESQuote("AKZOINDIA.EQ-NSE","Close")</f>
        <v>#NAME?</v>
      </c>
      <c r="E46" s="2" t="e">
        <f ca="1">_xll.ESQuote("AKZOINDIA.EQ-NSE","Company")</f>
        <v>#NAME?</v>
      </c>
      <c r="F46" s="2" t="e">
        <f ca="1">_xll.ESQuote("AKZOINDIA.EQ-NSE","Description")</f>
        <v>#NAME?</v>
      </c>
      <c r="G46" s="2" t="e">
        <f ca="1">_xll.ESQuote("AKZOINDIA.EQ-NSE","Exchange")</f>
        <v>#NAME?</v>
      </c>
      <c r="H46" s="2" t="e">
        <f ca="1">_xll.ESQuote("AKZOINDIA.EQ-NSE","High")</f>
        <v>#NAME?</v>
      </c>
      <c r="I46" s="2" t="e">
        <f ca="1">_xll.ESQuote("AKZOINDIA.EQ-NSE","Last")</f>
        <v>#NAME?</v>
      </c>
      <c r="J46" s="4" t="e">
        <f ca="1">_xll.ESQuote("AKZOINDIA.EQ-NSE","Last_Time")</f>
        <v>#NAME?</v>
      </c>
      <c r="K46" s="2" t="e">
        <f ca="1">_xll.ESQuote("AKZOINDIA.EQ-NSE","Low")</f>
        <v>#NAME?</v>
      </c>
      <c r="L46" s="2" t="e">
        <f ca="1">_xll.ESQuote("AKZOINDIA.EQ-NSE","Open")</f>
        <v>#NAME?</v>
      </c>
      <c r="M46" s="2" t="e">
        <f ca="1">_xll.ESQuote("AKZOINDIA.EQ-NSE","PrevPrice")</f>
        <v>#NAME?</v>
      </c>
      <c r="N46" s="2" t="e">
        <f ca="1">_xll.ESQuote("AKZOINDIA.EQ-NSE","Symbol")</f>
        <v>#NAME?</v>
      </c>
      <c r="O46" s="2" t="e">
        <f ca="1">_xll.ESQuote("AKZOINDIA.EQ-NSE","Volume")</f>
        <v>#NAME?</v>
      </c>
    </row>
    <row r="47" spans="1:15" x14ac:dyDescent="0.25">
      <c r="A47" s="1" t="s">
        <v>59</v>
      </c>
      <c r="B47" s="2" t="e">
        <f ca="1">_xll.ESQuote("ALANKIT.EQ-NSE","% Change")</f>
        <v>#NAME?</v>
      </c>
      <c r="C47" s="2" t="e">
        <f ca="1">_xll.ESQuote("ALANKIT.EQ-NSE","Change")</f>
        <v>#NAME?</v>
      </c>
      <c r="D47" s="2" t="e">
        <f ca="1">_xll.ESQuote("ALANKIT.EQ-NSE","Close")</f>
        <v>#NAME?</v>
      </c>
      <c r="E47" s="2" t="e">
        <f ca="1">_xll.ESQuote("ALANKIT.EQ-NSE","Company")</f>
        <v>#NAME?</v>
      </c>
      <c r="F47" s="2" t="e">
        <f ca="1">_xll.ESQuote("ALANKIT.EQ-NSE","Description")</f>
        <v>#NAME?</v>
      </c>
      <c r="G47" s="2" t="e">
        <f ca="1">_xll.ESQuote("ALANKIT.EQ-NSE","Exchange")</f>
        <v>#NAME?</v>
      </c>
      <c r="H47" s="2" t="e">
        <f ca="1">_xll.ESQuote("ALANKIT.EQ-NSE","High")</f>
        <v>#NAME?</v>
      </c>
      <c r="I47" s="2" t="e">
        <f ca="1">_xll.ESQuote("ALANKIT.EQ-NSE","Last")</f>
        <v>#NAME?</v>
      </c>
      <c r="J47" s="4" t="e">
        <f ca="1">_xll.ESQuote("ALANKIT.EQ-NSE","Last_Time")</f>
        <v>#NAME?</v>
      </c>
      <c r="K47" s="2" t="e">
        <f ca="1">_xll.ESQuote("ALANKIT.EQ-NSE","Low")</f>
        <v>#NAME?</v>
      </c>
      <c r="L47" s="2" t="e">
        <f ca="1">_xll.ESQuote("ALANKIT.EQ-NSE","Open")</f>
        <v>#NAME?</v>
      </c>
      <c r="M47" s="2" t="e">
        <f ca="1">_xll.ESQuote("ALANKIT.EQ-NSE","PrevPrice")</f>
        <v>#NAME?</v>
      </c>
      <c r="N47" s="2" t="e">
        <f ca="1">_xll.ESQuote("ALANKIT.EQ-NSE","Symbol")</f>
        <v>#NAME?</v>
      </c>
      <c r="O47" s="2" t="e">
        <f ca="1">_xll.ESQuote("ALANKIT.EQ-NSE","Volume")</f>
        <v>#NAME?</v>
      </c>
    </row>
    <row r="48" spans="1:15" x14ac:dyDescent="0.25">
      <c r="A48" s="1" t="s">
        <v>60</v>
      </c>
      <c r="B48" s="2" t="e">
        <f ca="1">_xll.ESQuote("ALBK.EQ-NSE","% Change")</f>
        <v>#NAME?</v>
      </c>
      <c r="C48" s="2" t="e">
        <f ca="1">_xll.ESQuote("ALBK.EQ-NSE","Change")</f>
        <v>#NAME?</v>
      </c>
      <c r="D48" s="2" t="e">
        <f ca="1">_xll.ESQuote("ALBK.EQ-NSE","Close")</f>
        <v>#NAME?</v>
      </c>
      <c r="E48" s="2" t="e">
        <f ca="1">_xll.ESQuote("ALBK.EQ-NSE","Company")</f>
        <v>#NAME?</v>
      </c>
      <c r="F48" s="2" t="e">
        <f ca="1">_xll.ESQuote("ALBK.EQ-NSE","Description")</f>
        <v>#NAME?</v>
      </c>
      <c r="G48" s="2" t="e">
        <f ca="1">_xll.ESQuote("ALBK.EQ-NSE","Exchange")</f>
        <v>#NAME?</v>
      </c>
      <c r="H48" s="2" t="e">
        <f ca="1">_xll.ESQuote("ALBK.EQ-NSE","High")</f>
        <v>#NAME?</v>
      </c>
      <c r="I48" s="2" t="e">
        <f ca="1">_xll.ESQuote("ALBK.EQ-NSE","Last")</f>
        <v>#NAME?</v>
      </c>
      <c r="J48" s="4" t="e">
        <f ca="1">_xll.ESQuote("ALBK.EQ-NSE","Last_Time")</f>
        <v>#NAME?</v>
      </c>
      <c r="K48" s="2" t="e">
        <f ca="1">_xll.ESQuote("ALBK.EQ-NSE","Low")</f>
        <v>#NAME?</v>
      </c>
      <c r="L48" s="2" t="e">
        <f ca="1">_xll.ESQuote("ALBK.EQ-NSE","Open")</f>
        <v>#NAME?</v>
      </c>
      <c r="M48" s="2" t="e">
        <f ca="1">_xll.ESQuote("ALBK.EQ-NSE","PrevPrice")</f>
        <v>#NAME?</v>
      </c>
      <c r="N48" s="2" t="e">
        <f ca="1">_xll.ESQuote("ALBK.EQ-NSE","Symbol")</f>
        <v>#NAME?</v>
      </c>
      <c r="O48" s="2" t="e">
        <f ca="1">_xll.ESQuote("ALBK.EQ-NSE","Volume")</f>
        <v>#NAME?</v>
      </c>
    </row>
    <row r="49" spans="1:15" x14ac:dyDescent="0.25">
      <c r="A49" s="1" t="s">
        <v>61</v>
      </c>
      <c r="B49" s="2" t="e">
        <f ca="1">_xll.ESQuote("ALCHEM.EQ-NSE","% Change")</f>
        <v>#NAME?</v>
      </c>
      <c r="C49" s="2" t="e">
        <f ca="1">_xll.ESQuote("ALCHEM.EQ-NSE","Change")</f>
        <v>#NAME?</v>
      </c>
      <c r="D49" s="2" t="e">
        <f ca="1">_xll.ESQuote("ALCHEM.EQ-NSE","Close")</f>
        <v>#NAME?</v>
      </c>
      <c r="E49" s="2" t="e">
        <f ca="1">_xll.ESQuote("ALCHEM.EQ-NSE","Company")</f>
        <v>#NAME?</v>
      </c>
      <c r="F49" s="2" t="e">
        <f ca="1">_xll.ESQuote("ALCHEM.EQ-NSE","Description")</f>
        <v>#NAME?</v>
      </c>
      <c r="G49" s="2" t="e">
        <f ca="1">_xll.ESQuote("ALCHEM.EQ-NSE","Exchange")</f>
        <v>#NAME?</v>
      </c>
      <c r="H49" s="2" t="e">
        <f ca="1">_xll.ESQuote("ALCHEM.EQ-NSE","High")</f>
        <v>#NAME?</v>
      </c>
      <c r="I49" s="2" t="e">
        <f ca="1">_xll.ESQuote("ALCHEM.EQ-NSE","Last")</f>
        <v>#NAME?</v>
      </c>
      <c r="J49" s="4" t="e">
        <f ca="1">_xll.ESQuote("ALCHEM.EQ-NSE","Last_Time")</f>
        <v>#NAME?</v>
      </c>
      <c r="K49" s="2" t="e">
        <f ca="1">_xll.ESQuote("ALCHEM.EQ-NSE","Low")</f>
        <v>#NAME?</v>
      </c>
      <c r="L49" s="2" t="e">
        <f ca="1">_xll.ESQuote("ALCHEM.EQ-NSE","Open")</f>
        <v>#NAME?</v>
      </c>
      <c r="M49" s="2" t="e">
        <f ca="1">_xll.ESQuote("ALCHEM.EQ-NSE","PrevPrice")</f>
        <v>#NAME?</v>
      </c>
      <c r="N49" s="2" t="e">
        <f ca="1">_xll.ESQuote("ALCHEM.EQ-NSE","Symbol")</f>
        <v>#NAME?</v>
      </c>
      <c r="O49" s="2" t="e">
        <f ca="1">_xll.ESQuote("ALCHEM.EQ-NSE","Volume")</f>
        <v>#NAME?</v>
      </c>
    </row>
    <row r="50" spans="1:15" x14ac:dyDescent="0.25">
      <c r="A50" s="1" t="s">
        <v>62</v>
      </c>
      <c r="B50" s="2" t="e">
        <f ca="1">_xll.ESQuote("ALEMBICLTD.EQ-NSE","% Change")</f>
        <v>#NAME?</v>
      </c>
      <c r="C50" s="2" t="e">
        <f ca="1">_xll.ESQuote("ALEMBICLTD.EQ-NSE","Change")</f>
        <v>#NAME?</v>
      </c>
      <c r="D50" s="2" t="e">
        <f ca="1">_xll.ESQuote("ALEMBICLTD.EQ-NSE","Close")</f>
        <v>#NAME?</v>
      </c>
      <c r="E50" s="2" t="e">
        <f ca="1">_xll.ESQuote("ALEMBICLTD.EQ-NSE","Company")</f>
        <v>#NAME?</v>
      </c>
      <c r="F50" s="2" t="e">
        <f ca="1">_xll.ESQuote("ALEMBICLTD.EQ-NSE","Description")</f>
        <v>#NAME?</v>
      </c>
      <c r="G50" s="2" t="e">
        <f ca="1">_xll.ESQuote("ALEMBICLTD.EQ-NSE","Exchange")</f>
        <v>#NAME?</v>
      </c>
      <c r="H50" s="2" t="e">
        <f ca="1">_xll.ESQuote("ALEMBICLTD.EQ-NSE","High")</f>
        <v>#NAME?</v>
      </c>
      <c r="I50" s="2" t="e">
        <f ca="1">_xll.ESQuote("ALEMBICLTD.EQ-NSE","Last")</f>
        <v>#NAME?</v>
      </c>
      <c r="J50" s="4" t="e">
        <f ca="1">_xll.ESQuote("ALEMBICLTD.EQ-NSE","Last_Time")</f>
        <v>#NAME?</v>
      </c>
      <c r="K50" s="2" t="e">
        <f ca="1">_xll.ESQuote("ALEMBICLTD.EQ-NSE","Low")</f>
        <v>#NAME?</v>
      </c>
      <c r="L50" s="2" t="e">
        <f ca="1">_xll.ESQuote("ALEMBICLTD.EQ-NSE","Open")</f>
        <v>#NAME?</v>
      </c>
      <c r="M50" s="2" t="e">
        <f ca="1">_xll.ESQuote("ALEMBICLTD.EQ-NSE","PrevPrice")</f>
        <v>#NAME?</v>
      </c>
      <c r="N50" s="2" t="e">
        <f ca="1">_xll.ESQuote("ALEMBICLTD.EQ-NSE","Symbol")</f>
        <v>#NAME?</v>
      </c>
      <c r="O50" s="2" t="e">
        <f ca="1">_xll.ESQuote("ALEMBICLTD.EQ-NSE","Volume")</f>
        <v>#NAME?</v>
      </c>
    </row>
    <row r="51" spans="1:15" x14ac:dyDescent="0.25">
      <c r="A51" s="1" t="s">
        <v>63</v>
      </c>
      <c r="B51" s="2" t="e">
        <f ca="1">_xll.ESQuote("ALICON.EQ-NSE","% Change")</f>
        <v>#NAME?</v>
      </c>
      <c r="C51" s="2" t="e">
        <f ca="1">_xll.ESQuote("ALICON.EQ-NSE","Change")</f>
        <v>#NAME?</v>
      </c>
      <c r="D51" s="2" t="e">
        <f ca="1">_xll.ESQuote("ALICON.EQ-NSE","Close")</f>
        <v>#NAME?</v>
      </c>
      <c r="E51" s="2" t="e">
        <f ca="1">_xll.ESQuote("ALICON.EQ-NSE","Company")</f>
        <v>#NAME?</v>
      </c>
      <c r="F51" s="2" t="e">
        <f ca="1">_xll.ESQuote("ALICON.EQ-NSE","Description")</f>
        <v>#NAME?</v>
      </c>
      <c r="G51" s="2" t="e">
        <f ca="1">_xll.ESQuote("ALICON.EQ-NSE","Exchange")</f>
        <v>#NAME?</v>
      </c>
      <c r="H51" s="2" t="e">
        <f ca="1">_xll.ESQuote("ALICON.EQ-NSE","High")</f>
        <v>#NAME?</v>
      </c>
      <c r="I51" s="2" t="e">
        <f ca="1">_xll.ESQuote("ALICON.EQ-NSE","Last")</f>
        <v>#NAME?</v>
      </c>
      <c r="J51" s="4" t="e">
        <f ca="1">_xll.ESQuote("ALICON.EQ-NSE","Last_Time")</f>
        <v>#NAME?</v>
      </c>
      <c r="K51" s="2" t="e">
        <f ca="1">_xll.ESQuote("ALICON.EQ-NSE","Low")</f>
        <v>#NAME?</v>
      </c>
      <c r="L51" s="2" t="e">
        <f ca="1">_xll.ESQuote("ALICON.EQ-NSE","Open")</f>
        <v>#NAME?</v>
      </c>
      <c r="M51" s="2" t="e">
        <f ca="1">_xll.ESQuote("ALICON.EQ-NSE","PrevPrice")</f>
        <v>#NAME?</v>
      </c>
      <c r="N51" s="2" t="e">
        <f ca="1">_xll.ESQuote("ALICON.EQ-NSE","Symbol")</f>
        <v>#NAME?</v>
      </c>
      <c r="O51" s="2" t="e">
        <f ca="1">_xll.ESQuote("ALICON.EQ-NSE","Volume")</f>
        <v>#NAME?</v>
      </c>
    </row>
    <row r="52" spans="1:15" x14ac:dyDescent="0.25">
      <c r="A52" s="1" t="s">
        <v>64</v>
      </c>
      <c r="B52" s="2" t="e">
        <f ca="1">_xll.ESQuote("ALKALI.EQ-NSE","% Change")</f>
        <v>#NAME?</v>
      </c>
      <c r="C52" s="2" t="e">
        <f ca="1">_xll.ESQuote("ALKALI.EQ-NSE","Change")</f>
        <v>#NAME?</v>
      </c>
      <c r="D52" s="2" t="e">
        <f ca="1">_xll.ESQuote("ALKALI.EQ-NSE","Close")</f>
        <v>#NAME?</v>
      </c>
      <c r="E52" s="2" t="e">
        <f ca="1">_xll.ESQuote("ALKALI.EQ-NSE","Company")</f>
        <v>#NAME?</v>
      </c>
      <c r="F52" s="2" t="e">
        <f ca="1">_xll.ESQuote("ALKALI.EQ-NSE","Description")</f>
        <v>#NAME?</v>
      </c>
      <c r="G52" s="2" t="e">
        <f ca="1">_xll.ESQuote("ALKALI.EQ-NSE","Exchange")</f>
        <v>#NAME?</v>
      </c>
      <c r="H52" s="2" t="e">
        <f ca="1">_xll.ESQuote("ALKALI.EQ-NSE","High")</f>
        <v>#NAME?</v>
      </c>
      <c r="I52" s="2" t="e">
        <f ca="1">_xll.ESQuote("ALKALI.EQ-NSE","Last")</f>
        <v>#NAME?</v>
      </c>
      <c r="J52" s="4" t="e">
        <f ca="1">_xll.ESQuote("ALKALI.EQ-NSE","Last_Time")</f>
        <v>#NAME?</v>
      </c>
      <c r="K52" s="2" t="e">
        <f ca="1">_xll.ESQuote("ALKALI.EQ-NSE","Low")</f>
        <v>#NAME?</v>
      </c>
      <c r="L52" s="2" t="e">
        <f ca="1">_xll.ESQuote("ALKALI.EQ-NSE","Open")</f>
        <v>#NAME?</v>
      </c>
      <c r="M52" s="2" t="e">
        <f ca="1">_xll.ESQuote("ALKALI.EQ-NSE","PrevPrice")</f>
        <v>#NAME?</v>
      </c>
      <c r="N52" s="2" t="e">
        <f ca="1">_xll.ESQuote("ALKALI.EQ-NSE","Symbol")</f>
        <v>#NAME?</v>
      </c>
      <c r="O52" s="2" t="e">
        <f ca="1">_xll.ESQuote("ALKALI.EQ-NSE","Volume")</f>
        <v>#NAME?</v>
      </c>
    </row>
    <row r="53" spans="1:15" x14ac:dyDescent="0.25">
      <c r="A53" s="1" t="s">
        <v>65</v>
      </c>
      <c r="B53" s="2" t="e">
        <f ca="1">_xll.ESQuote("ALKYLAMINE.EQ-NSE","% Change")</f>
        <v>#NAME?</v>
      </c>
      <c r="C53" s="2" t="e">
        <f ca="1">_xll.ESQuote("ALKYLAMINE.EQ-NSE","Change")</f>
        <v>#NAME?</v>
      </c>
      <c r="D53" s="2" t="e">
        <f ca="1">_xll.ESQuote("ALKYLAMINE.EQ-NSE","Close")</f>
        <v>#NAME?</v>
      </c>
      <c r="E53" s="2" t="e">
        <f ca="1">_xll.ESQuote("ALKYLAMINE.EQ-NSE","Company")</f>
        <v>#NAME?</v>
      </c>
      <c r="F53" s="2" t="e">
        <f ca="1">_xll.ESQuote("ALKYLAMINE.EQ-NSE","Description")</f>
        <v>#NAME?</v>
      </c>
      <c r="G53" s="2" t="e">
        <f ca="1">_xll.ESQuote("ALKYLAMINE.EQ-NSE","Exchange")</f>
        <v>#NAME?</v>
      </c>
      <c r="H53" s="2" t="e">
        <f ca="1">_xll.ESQuote("ALKYLAMINE.EQ-NSE","High")</f>
        <v>#NAME?</v>
      </c>
      <c r="I53" s="2" t="e">
        <f ca="1">_xll.ESQuote("ALKYLAMINE.EQ-NSE","Last")</f>
        <v>#NAME?</v>
      </c>
      <c r="J53" s="4" t="e">
        <f ca="1">_xll.ESQuote("ALKYLAMINE.EQ-NSE","Last_Time")</f>
        <v>#NAME?</v>
      </c>
      <c r="K53" s="2" t="e">
        <f ca="1">_xll.ESQuote("ALKYLAMINE.EQ-NSE","Low")</f>
        <v>#NAME?</v>
      </c>
      <c r="L53" s="2" t="e">
        <f ca="1">_xll.ESQuote("ALKYLAMINE.EQ-NSE","Open")</f>
        <v>#NAME?</v>
      </c>
      <c r="M53" s="2" t="e">
        <f ca="1">_xll.ESQuote("ALKYLAMINE.EQ-NSE","PrevPrice")</f>
        <v>#NAME?</v>
      </c>
      <c r="N53" s="2" t="e">
        <f ca="1">_xll.ESQuote("ALKYLAMINE.EQ-NSE","Symbol")</f>
        <v>#NAME?</v>
      </c>
      <c r="O53" s="2" t="e">
        <f ca="1">_xll.ESQuote("ALKYLAMINE.EQ-NSE","Volume")</f>
        <v>#NAME?</v>
      </c>
    </row>
    <row r="54" spans="1:15" x14ac:dyDescent="0.25">
      <c r="A54" s="1" t="s">
        <v>66</v>
      </c>
      <c r="B54" s="2" t="e">
        <f ca="1">_xll.ESQuote("ALLCARGO.EQ-NSE","% Change")</f>
        <v>#NAME?</v>
      </c>
      <c r="C54" s="2" t="e">
        <f ca="1">_xll.ESQuote("ALLCARGO.EQ-NSE","Change")</f>
        <v>#NAME?</v>
      </c>
      <c r="D54" s="2" t="e">
        <f ca="1">_xll.ESQuote("ALLCARGO.EQ-NSE","Close")</f>
        <v>#NAME?</v>
      </c>
      <c r="E54" s="2" t="e">
        <f ca="1">_xll.ESQuote("ALLCARGO.EQ-NSE","Company")</f>
        <v>#NAME?</v>
      </c>
      <c r="F54" s="2" t="e">
        <f ca="1">_xll.ESQuote("ALLCARGO.EQ-NSE","Description")</f>
        <v>#NAME?</v>
      </c>
      <c r="G54" s="2" t="e">
        <f ca="1">_xll.ESQuote("ALLCARGO.EQ-NSE","Exchange")</f>
        <v>#NAME?</v>
      </c>
      <c r="H54" s="2" t="e">
        <f ca="1">_xll.ESQuote("ALLCARGO.EQ-NSE","High")</f>
        <v>#NAME?</v>
      </c>
      <c r="I54" s="2" t="e">
        <f ca="1">_xll.ESQuote("ALLCARGO.EQ-NSE","Last")</f>
        <v>#NAME?</v>
      </c>
      <c r="J54" s="4" t="e">
        <f ca="1">_xll.ESQuote("ALLCARGO.EQ-NSE","Last_Time")</f>
        <v>#NAME?</v>
      </c>
      <c r="K54" s="2" t="e">
        <f ca="1">_xll.ESQuote("ALLCARGO.EQ-NSE","Low")</f>
        <v>#NAME?</v>
      </c>
      <c r="L54" s="2" t="e">
        <f ca="1">_xll.ESQuote("ALLCARGO.EQ-NSE","Open")</f>
        <v>#NAME?</v>
      </c>
      <c r="M54" s="2" t="e">
        <f ca="1">_xll.ESQuote("ALLCARGO.EQ-NSE","PrevPrice")</f>
        <v>#NAME?</v>
      </c>
      <c r="N54" s="2" t="e">
        <f ca="1">_xll.ESQuote("ALLCARGO.EQ-NSE","Symbol")</f>
        <v>#NAME?</v>
      </c>
      <c r="O54" s="2" t="e">
        <f ca="1">_xll.ESQuote("ALLCARGO.EQ-NSE","Volume")</f>
        <v>#NAME?</v>
      </c>
    </row>
    <row r="55" spans="1:15" x14ac:dyDescent="0.25">
      <c r="A55" s="1" t="s">
        <v>67</v>
      </c>
      <c r="B55" s="2" t="e">
        <f ca="1">_xll.ESQuote("ALLSEC.EQ-NSE","% Change")</f>
        <v>#NAME?</v>
      </c>
      <c r="C55" s="2" t="e">
        <f ca="1">_xll.ESQuote("ALLSEC.EQ-NSE","Change")</f>
        <v>#NAME?</v>
      </c>
      <c r="D55" s="2" t="e">
        <f ca="1">_xll.ESQuote("ALLSEC.EQ-NSE","Close")</f>
        <v>#NAME?</v>
      </c>
      <c r="E55" s="2" t="e">
        <f ca="1">_xll.ESQuote("ALLSEC.EQ-NSE","Company")</f>
        <v>#NAME?</v>
      </c>
      <c r="F55" s="2" t="e">
        <f ca="1">_xll.ESQuote("ALLSEC.EQ-NSE","Description")</f>
        <v>#NAME?</v>
      </c>
      <c r="G55" s="2" t="e">
        <f ca="1">_xll.ESQuote("ALLSEC.EQ-NSE","Exchange")</f>
        <v>#NAME?</v>
      </c>
      <c r="H55" s="2" t="e">
        <f ca="1">_xll.ESQuote("ALLSEC.EQ-NSE","High")</f>
        <v>#NAME?</v>
      </c>
      <c r="I55" s="2" t="e">
        <f ca="1">_xll.ESQuote("ALLSEC.EQ-NSE","Last")</f>
        <v>#NAME?</v>
      </c>
      <c r="J55" s="4" t="e">
        <f ca="1">_xll.ESQuote("ALLSEC.EQ-NSE","Last_Time")</f>
        <v>#NAME?</v>
      </c>
      <c r="K55" s="2" t="e">
        <f ca="1">_xll.ESQuote("ALLSEC.EQ-NSE","Low")</f>
        <v>#NAME?</v>
      </c>
      <c r="L55" s="2" t="e">
        <f ca="1">_xll.ESQuote("ALLSEC.EQ-NSE","Open")</f>
        <v>#NAME?</v>
      </c>
      <c r="M55" s="2" t="e">
        <f ca="1">_xll.ESQuote("ALLSEC.EQ-NSE","PrevPrice")</f>
        <v>#NAME?</v>
      </c>
      <c r="N55" s="2" t="e">
        <f ca="1">_xll.ESQuote("ALLSEC.EQ-NSE","Symbol")</f>
        <v>#NAME?</v>
      </c>
      <c r="O55" s="2" t="e">
        <f ca="1">_xll.ESQuote("ALLSEC.EQ-NSE","Volume")</f>
        <v>#NAME?</v>
      </c>
    </row>
    <row r="56" spans="1:15" x14ac:dyDescent="0.25">
      <c r="A56" s="1" t="s">
        <v>68</v>
      </c>
      <c r="B56" s="2" t="e">
        <f ca="1">_xll.ESQuote("ALMONDZ.EQ-NSE","% Change")</f>
        <v>#NAME?</v>
      </c>
      <c r="C56" s="2" t="e">
        <f ca="1">_xll.ESQuote("ALMONDZ.EQ-NSE","Change")</f>
        <v>#NAME?</v>
      </c>
      <c r="D56" s="2" t="e">
        <f ca="1">_xll.ESQuote("ALMONDZ.EQ-NSE","Close")</f>
        <v>#NAME?</v>
      </c>
      <c r="E56" s="2" t="e">
        <f ca="1">_xll.ESQuote("ALMONDZ.EQ-NSE","Company")</f>
        <v>#NAME?</v>
      </c>
      <c r="F56" s="2" t="e">
        <f ca="1">_xll.ESQuote("ALMONDZ.EQ-NSE","Description")</f>
        <v>#NAME?</v>
      </c>
      <c r="G56" s="2" t="e">
        <f ca="1">_xll.ESQuote("ALMONDZ.EQ-NSE","Exchange")</f>
        <v>#NAME?</v>
      </c>
      <c r="H56" s="2" t="e">
        <f ca="1">_xll.ESQuote("ALMONDZ.EQ-NSE","High")</f>
        <v>#NAME?</v>
      </c>
      <c r="I56" s="2" t="e">
        <f ca="1">_xll.ESQuote("ALMONDZ.EQ-NSE","Last")</f>
        <v>#NAME?</v>
      </c>
      <c r="J56" s="4" t="e">
        <f ca="1">_xll.ESQuote("ALMONDZ.EQ-NSE","Last_Time")</f>
        <v>#NAME?</v>
      </c>
      <c r="K56" s="2" t="e">
        <f ca="1">_xll.ESQuote("ALMONDZ.EQ-NSE","Low")</f>
        <v>#NAME?</v>
      </c>
      <c r="L56" s="2" t="e">
        <f ca="1">_xll.ESQuote("ALMONDZ.EQ-NSE","Open")</f>
        <v>#NAME?</v>
      </c>
      <c r="M56" s="2" t="e">
        <f ca="1">_xll.ESQuote("ALMONDZ.EQ-NSE","PrevPrice")</f>
        <v>#NAME?</v>
      </c>
      <c r="N56" s="2" t="e">
        <f ca="1">_xll.ESQuote("ALMONDZ.EQ-NSE","Symbol")</f>
        <v>#NAME?</v>
      </c>
      <c r="O56" s="2" t="e">
        <f ca="1">_xll.ESQuote("ALMONDZ.EQ-NSE","Volume")</f>
        <v>#NAME?</v>
      </c>
    </row>
    <row r="57" spans="1:15" x14ac:dyDescent="0.25">
      <c r="A57" s="1" t="s">
        <v>69</v>
      </c>
      <c r="B57" s="2" t="e">
        <f ca="1">_xll.ESQuote("ALOKTEXT.EQ-NSE","% Change")</f>
        <v>#NAME?</v>
      </c>
      <c r="C57" s="2" t="e">
        <f ca="1">_xll.ESQuote("ALOKTEXT.EQ-NSE","Change")</f>
        <v>#NAME?</v>
      </c>
      <c r="D57" s="2" t="e">
        <f ca="1">_xll.ESQuote("ALOKTEXT.EQ-NSE","Close")</f>
        <v>#NAME?</v>
      </c>
      <c r="E57" s="2" t="e">
        <f ca="1">_xll.ESQuote("ALOKTEXT.EQ-NSE","Company")</f>
        <v>#NAME?</v>
      </c>
      <c r="F57" s="2" t="e">
        <f ca="1">_xll.ESQuote("ALOKTEXT.EQ-NSE","Description")</f>
        <v>#NAME?</v>
      </c>
      <c r="G57" s="2" t="e">
        <f ca="1">_xll.ESQuote("ALOKTEXT.EQ-NSE","Exchange")</f>
        <v>#NAME?</v>
      </c>
      <c r="H57" s="2" t="e">
        <f ca="1">_xll.ESQuote("ALOKTEXT.EQ-NSE","High")</f>
        <v>#NAME?</v>
      </c>
      <c r="I57" s="2" t="e">
        <f ca="1">_xll.ESQuote("ALOKTEXT.EQ-NSE","Last")</f>
        <v>#NAME?</v>
      </c>
      <c r="J57" s="4" t="e">
        <f ca="1">_xll.ESQuote("ALOKTEXT.EQ-NSE","Last_Time")</f>
        <v>#NAME?</v>
      </c>
      <c r="K57" s="2" t="e">
        <f ca="1">_xll.ESQuote("ALOKTEXT.EQ-NSE","Low")</f>
        <v>#NAME?</v>
      </c>
      <c r="L57" s="2" t="e">
        <f ca="1">_xll.ESQuote("ALOKTEXT.EQ-NSE","Open")</f>
        <v>#NAME?</v>
      </c>
      <c r="M57" s="2" t="e">
        <f ca="1">_xll.ESQuote("ALOKTEXT.EQ-NSE","PrevPrice")</f>
        <v>#NAME?</v>
      </c>
      <c r="N57" s="2" t="e">
        <f ca="1">_xll.ESQuote("ALOKTEXT.EQ-NSE","Symbol")</f>
        <v>#NAME?</v>
      </c>
      <c r="O57" s="2" t="e">
        <f ca="1">_xll.ESQuote("ALOKTEXT.EQ-NSE","Volume")</f>
        <v>#NAME?</v>
      </c>
    </row>
    <row r="58" spans="1:15" x14ac:dyDescent="0.25">
      <c r="A58" s="1" t="s">
        <v>70</v>
      </c>
      <c r="B58" s="2" t="e">
        <f ca="1">_xll.ESQuote("ALPA.EQ-NSE","% Change")</f>
        <v>#NAME?</v>
      </c>
      <c r="C58" s="2" t="e">
        <f ca="1">_xll.ESQuote("ALPA.EQ-NSE","Change")</f>
        <v>#NAME?</v>
      </c>
      <c r="D58" s="2" t="e">
        <f ca="1">_xll.ESQuote("ALPA.EQ-NSE","Close")</f>
        <v>#NAME?</v>
      </c>
      <c r="E58" s="2" t="e">
        <f ca="1">_xll.ESQuote("ALPA.EQ-NSE","Company")</f>
        <v>#NAME?</v>
      </c>
      <c r="F58" s="2" t="e">
        <f ca="1">_xll.ESQuote("ALPA.EQ-NSE","Description")</f>
        <v>#NAME?</v>
      </c>
      <c r="G58" s="2" t="e">
        <f ca="1">_xll.ESQuote("ALPA.EQ-NSE","Exchange")</f>
        <v>#NAME?</v>
      </c>
      <c r="H58" s="2" t="e">
        <f ca="1">_xll.ESQuote("ALPA.EQ-NSE","High")</f>
        <v>#NAME?</v>
      </c>
      <c r="I58" s="2" t="e">
        <f ca="1">_xll.ESQuote("ALPA.EQ-NSE","Last")</f>
        <v>#NAME?</v>
      </c>
      <c r="J58" s="4" t="e">
        <f ca="1">_xll.ESQuote("ALPA.EQ-NSE","Last_Time")</f>
        <v>#NAME?</v>
      </c>
      <c r="K58" s="2" t="e">
        <f ca="1">_xll.ESQuote("ALPA.EQ-NSE","Low")</f>
        <v>#NAME?</v>
      </c>
      <c r="L58" s="2" t="e">
        <f ca="1">_xll.ESQuote("ALPA.EQ-NSE","Open")</f>
        <v>#NAME?</v>
      </c>
      <c r="M58" s="2" t="e">
        <f ca="1">_xll.ESQuote("ALPA.EQ-NSE","PrevPrice")</f>
        <v>#NAME?</v>
      </c>
      <c r="N58" s="2" t="e">
        <f ca="1">_xll.ESQuote("ALPA.EQ-NSE","Symbol")</f>
        <v>#NAME?</v>
      </c>
      <c r="O58" s="2" t="e">
        <f ca="1">_xll.ESQuote("ALPA.EQ-NSE","Volume")</f>
        <v>#NAME?</v>
      </c>
    </row>
    <row r="59" spans="1:15" x14ac:dyDescent="0.25">
      <c r="A59" s="1" t="s">
        <v>71</v>
      </c>
      <c r="B59" s="2" t="e">
        <f ca="1">_xll.ESQuote("ALPHAGEO.EQ-NSE","% Change")</f>
        <v>#NAME?</v>
      </c>
      <c r="C59" s="2" t="e">
        <f ca="1">_xll.ESQuote("ALPHAGEO.EQ-NSE","Change")</f>
        <v>#NAME?</v>
      </c>
      <c r="D59" s="2" t="e">
        <f ca="1">_xll.ESQuote("ALPHAGEO.EQ-NSE","Close")</f>
        <v>#NAME?</v>
      </c>
      <c r="E59" s="2" t="e">
        <f ca="1">_xll.ESQuote("ALPHAGEO.EQ-NSE","Company")</f>
        <v>#NAME?</v>
      </c>
      <c r="F59" s="2" t="e">
        <f ca="1">_xll.ESQuote("ALPHAGEO.EQ-NSE","Description")</f>
        <v>#NAME?</v>
      </c>
      <c r="G59" s="2" t="e">
        <f ca="1">_xll.ESQuote("ALPHAGEO.EQ-NSE","Exchange")</f>
        <v>#NAME?</v>
      </c>
      <c r="H59" s="2" t="e">
        <f ca="1">_xll.ESQuote("ALPHAGEO.EQ-NSE","High")</f>
        <v>#NAME?</v>
      </c>
      <c r="I59" s="2" t="e">
        <f ca="1">_xll.ESQuote("ALPHAGEO.EQ-NSE","Last")</f>
        <v>#NAME?</v>
      </c>
      <c r="J59" s="4" t="e">
        <f ca="1">_xll.ESQuote("ALPHAGEO.EQ-NSE","Last_Time")</f>
        <v>#NAME?</v>
      </c>
      <c r="K59" s="2" t="e">
        <f ca="1">_xll.ESQuote("ALPHAGEO.EQ-NSE","Low")</f>
        <v>#NAME?</v>
      </c>
      <c r="L59" s="2" t="e">
        <f ca="1">_xll.ESQuote("ALPHAGEO.EQ-NSE","Open")</f>
        <v>#NAME?</v>
      </c>
      <c r="M59" s="2" t="e">
        <f ca="1">_xll.ESQuote("ALPHAGEO.EQ-NSE","PrevPrice")</f>
        <v>#NAME?</v>
      </c>
      <c r="N59" s="2" t="e">
        <f ca="1">_xll.ESQuote("ALPHAGEO.EQ-NSE","Symbol")</f>
        <v>#NAME?</v>
      </c>
      <c r="O59" s="2" t="e">
        <f ca="1">_xll.ESQuote("ALPHAGEO.EQ-NSE","Volume")</f>
        <v>#NAME?</v>
      </c>
    </row>
    <row r="60" spans="1:15" x14ac:dyDescent="0.25">
      <c r="A60" s="1" t="s">
        <v>72</v>
      </c>
      <c r="B60" s="2" t="e">
        <f ca="1">_xll.ESQuote("ALPSINDUS.EQ-NSE","% Change")</f>
        <v>#NAME?</v>
      </c>
      <c r="C60" s="2" t="e">
        <f ca="1">_xll.ESQuote("ALPSINDUS.EQ-NSE","Change")</f>
        <v>#NAME?</v>
      </c>
      <c r="D60" s="2" t="e">
        <f ca="1">_xll.ESQuote("ALPSINDUS.EQ-NSE","Close")</f>
        <v>#NAME?</v>
      </c>
      <c r="E60" s="2" t="e">
        <f ca="1">_xll.ESQuote("ALPSINDUS.EQ-NSE","Company")</f>
        <v>#NAME?</v>
      </c>
      <c r="F60" s="2" t="e">
        <f ca="1">_xll.ESQuote("ALPSINDUS.EQ-NSE","Description")</f>
        <v>#NAME?</v>
      </c>
      <c r="G60" s="2" t="e">
        <f ca="1">_xll.ESQuote("ALPSINDUS.EQ-NSE","Exchange")</f>
        <v>#NAME?</v>
      </c>
      <c r="H60" s="2" t="e">
        <f ca="1">_xll.ESQuote("ALPSINDUS.EQ-NSE","High")</f>
        <v>#NAME?</v>
      </c>
      <c r="I60" s="2" t="e">
        <f ca="1">_xll.ESQuote("ALPSINDUS.EQ-NSE","Last")</f>
        <v>#NAME?</v>
      </c>
      <c r="J60" s="4" t="e">
        <f ca="1">_xll.ESQuote("ALPSINDUS.EQ-NSE","Last_Time")</f>
        <v>#NAME?</v>
      </c>
      <c r="K60" s="2" t="e">
        <f ca="1">_xll.ESQuote("ALPSINDUS.EQ-NSE","Low")</f>
        <v>#NAME?</v>
      </c>
      <c r="L60" s="2" t="e">
        <f ca="1">_xll.ESQuote("ALPSINDUS.EQ-NSE","Open")</f>
        <v>#NAME?</v>
      </c>
      <c r="M60" s="2" t="e">
        <f ca="1">_xll.ESQuote("ALPSINDUS.EQ-NSE","PrevPrice")</f>
        <v>#NAME?</v>
      </c>
      <c r="N60" s="2" t="e">
        <f ca="1">_xll.ESQuote("ALPSINDUS.EQ-NSE","Symbol")</f>
        <v>#NAME?</v>
      </c>
      <c r="O60" s="2" t="e">
        <f ca="1">_xll.ESQuote("ALPSINDUS.EQ-NSE","Volume")</f>
        <v>#NAME?</v>
      </c>
    </row>
    <row r="61" spans="1:15" x14ac:dyDescent="0.25">
      <c r="A61" s="1" t="s">
        <v>73</v>
      </c>
      <c r="B61" s="2" t="e">
        <f ca="1">_xll.ESQuote("ALSTOMT&amp;D.EQ-NSE","% Change")</f>
        <v>#NAME?</v>
      </c>
      <c r="C61" s="2" t="e">
        <f ca="1">_xll.ESQuote("ALSTOMT&amp;D.EQ-NSE","Change")</f>
        <v>#NAME?</v>
      </c>
      <c r="D61" s="2" t="e">
        <f ca="1">_xll.ESQuote("ALSTOMT&amp;D.EQ-NSE","Close")</f>
        <v>#NAME?</v>
      </c>
      <c r="E61" s="2" t="e">
        <f ca="1">_xll.ESQuote("ALSTOMT&amp;D.EQ-NSE","Company")</f>
        <v>#NAME?</v>
      </c>
      <c r="F61" s="2" t="e">
        <f ca="1">_xll.ESQuote("ALSTOMT&amp;D.EQ-NSE","Description")</f>
        <v>#NAME?</v>
      </c>
      <c r="G61" s="2" t="e">
        <f ca="1">_xll.ESQuote("ALSTOMT&amp;D.EQ-NSE","Exchange")</f>
        <v>#NAME?</v>
      </c>
      <c r="H61" s="2" t="e">
        <f ca="1">_xll.ESQuote("ALSTOMT&amp;D.EQ-NSE","High")</f>
        <v>#NAME?</v>
      </c>
      <c r="I61" s="2" t="e">
        <f ca="1">_xll.ESQuote("ALSTOMT&amp;D.EQ-NSE","Last")</f>
        <v>#NAME?</v>
      </c>
      <c r="J61" s="4" t="e">
        <f ca="1">_xll.ESQuote("ALSTOMT&amp;D.EQ-NSE","Last_Time")</f>
        <v>#NAME?</v>
      </c>
      <c r="K61" s="2" t="e">
        <f ca="1">_xll.ESQuote("ALSTOMT&amp;D.EQ-NSE","Low")</f>
        <v>#NAME?</v>
      </c>
      <c r="L61" s="2" t="e">
        <f ca="1">_xll.ESQuote("ALSTOMT&amp;D.EQ-NSE","Open")</f>
        <v>#NAME?</v>
      </c>
      <c r="M61" s="2" t="e">
        <f ca="1">_xll.ESQuote("ALSTOMT&amp;D.EQ-NSE","PrevPrice")</f>
        <v>#NAME?</v>
      </c>
      <c r="N61" s="2" t="e">
        <f ca="1">_xll.ESQuote("ALSTOMT&amp;D.EQ-NSE","Symbol")</f>
        <v>#NAME?</v>
      </c>
      <c r="O61" s="2" t="e">
        <f ca="1">_xll.ESQuote("ALSTOMT&amp;D.EQ-NSE","Volume")</f>
        <v>#NAME?</v>
      </c>
    </row>
    <row r="62" spans="1:15" x14ac:dyDescent="0.25">
      <c r="A62" s="1" t="s">
        <v>74</v>
      </c>
      <c r="B62" s="2" t="e">
        <f ca="1">_xll.ESQuote("AMARAJABAT.EQ-NSE","% Change")</f>
        <v>#NAME?</v>
      </c>
      <c r="C62" s="2" t="e">
        <f ca="1">_xll.ESQuote("AMARAJABAT.EQ-NSE","Change")</f>
        <v>#NAME?</v>
      </c>
      <c r="D62" s="2" t="e">
        <f ca="1">_xll.ESQuote("AMARAJABAT.EQ-NSE","Close")</f>
        <v>#NAME?</v>
      </c>
      <c r="E62" s="2" t="e">
        <f ca="1">_xll.ESQuote("AMARAJABAT.EQ-NSE","Company")</f>
        <v>#NAME?</v>
      </c>
      <c r="F62" s="2" t="e">
        <f ca="1">_xll.ESQuote("AMARAJABAT.EQ-NSE","Description")</f>
        <v>#NAME?</v>
      </c>
      <c r="G62" s="2" t="e">
        <f ca="1">_xll.ESQuote("AMARAJABAT.EQ-NSE","Exchange")</f>
        <v>#NAME?</v>
      </c>
      <c r="H62" s="2" t="e">
        <f ca="1">_xll.ESQuote("AMARAJABAT.EQ-NSE","High")</f>
        <v>#NAME?</v>
      </c>
      <c r="I62" s="2" t="e">
        <f ca="1">_xll.ESQuote("AMARAJABAT.EQ-NSE","Last")</f>
        <v>#NAME?</v>
      </c>
      <c r="J62" s="4" t="e">
        <f ca="1">_xll.ESQuote("AMARAJABAT.EQ-NSE","Last_Time")</f>
        <v>#NAME?</v>
      </c>
      <c r="K62" s="2" t="e">
        <f ca="1">_xll.ESQuote("AMARAJABAT.EQ-NSE","Low")</f>
        <v>#NAME?</v>
      </c>
      <c r="L62" s="2" t="e">
        <f ca="1">_xll.ESQuote("AMARAJABAT.EQ-NSE","Open")</f>
        <v>#NAME?</v>
      </c>
      <c r="M62" s="2" t="e">
        <f ca="1">_xll.ESQuote("AMARAJABAT.EQ-NSE","PrevPrice")</f>
        <v>#NAME?</v>
      </c>
      <c r="N62" s="2" t="e">
        <f ca="1">_xll.ESQuote("AMARAJABAT.EQ-NSE","Symbol")</f>
        <v>#NAME?</v>
      </c>
      <c r="O62" s="2" t="e">
        <f ca="1">_xll.ESQuote("AMARAJABAT.EQ-NSE","Volume")</f>
        <v>#NAME?</v>
      </c>
    </row>
    <row r="63" spans="1:15" x14ac:dyDescent="0.25">
      <c r="A63" s="1" t="s">
        <v>75</v>
      </c>
      <c r="B63" s="2" t="e">
        <f ca="1">_xll.ESQuote("AMBIKCO.EQ-NSE","% Change")</f>
        <v>#NAME?</v>
      </c>
      <c r="C63" s="2" t="e">
        <f ca="1">_xll.ESQuote("AMBIKCO.EQ-NSE","Change")</f>
        <v>#NAME?</v>
      </c>
      <c r="D63" s="2" t="e">
        <f ca="1">_xll.ESQuote("AMBIKCO.EQ-NSE","Close")</f>
        <v>#NAME?</v>
      </c>
      <c r="E63" s="2" t="e">
        <f ca="1">_xll.ESQuote("AMBIKCO.EQ-NSE","Company")</f>
        <v>#NAME?</v>
      </c>
      <c r="F63" s="2" t="e">
        <f ca="1">_xll.ESQuote("AMBIKCO.EQ-NSE","Description")</f>
        <v>#NAME?</v>
      </c>
      <c r="G63" s="2" t="e">
        <f ca="1">_xll.ESQuote("AMBIKCO.EQ-NSE","Exchange")</f>
        <v>#NAME?</v>
      </c>
      <c r="H63" s="2" t="e">
        <f ca="1">_xll.ESQuote("AMBIKCO.EQ-NSE","High")</f>
        <v>#NAME?</v>
      </c>
      <c r="I63" s="2" t="e">
        <f ca="1">_xll.ESQuote("AMBIKCO.EQ-NSE","Last")</f>
        <v>#NAME?</v>
      </c>
      <c r="J63" s="4" t="e">
        <f ca="1">_xll.ESQuote("AMBIKCO.EQ-NSE","Last_Time")</f>
        <v>#NAME?</v>
      </c>
      <c r="K63" s="2" t="e">
        <f ca="1">_xll.ESQuote("AMBIKCO.EQ-NSE","Low")</f>
        <v>#NAME?</v>
      </c>
      <c r="L63" s="2" t="e">
        <f ca="1">_xll.ESQuote("AMBIKCO.EQ-NSE","Open")</f>
        <v>#NAME?</v>
      </c>
      <c r="M63" s="2" t="e">
        <f ca="1">_xll.ESQuote("AMBIKCO.EQ-NSE","PrevPrice")</f>
        <v>#NAME?</v>
      </c>
      <c r="N63" s="2" t="e">
        <f ca="1">_xll.ESQuote("AMBIKCO.EQ-NSE","Symbol")</f>
        <v>#NAME?</v>
      </c>
      <c r="O63" s="2" t="e">
        <f ca="1">_xll.ESQuote("AMBIKCO.EQ-NSE","Volume")</f>
        <v>#NAME?</v>
      </c>
    </row>
    <row r="64" spans="1:15" x14ac:dyDescent="0.25">
      <c r="A64" s="1" t="s">
        <v>76</v>
      </c>
      <c r="B64" s="2" t="e">
        <f ca="1">_xll.ESQuote("AMBUJACEM.EQ-NSE","% Change")</f>
        <v>#NAME?</v>
      </c>
      <c r="C64" s="2" t="e">
        <f ca="1">_xll.ESQuote("AMBUJACEM.EQ-NSE","Change")</f>
        <v>#NAME?</v>
      </c>
      <c r="D64" s="2" t="e">
        <f ca="1">_xll.ESQuote("AMBUJACEM.EQ-NSE","Close")</f>
        <v>#NAME?</v>
      </c>
      <c r="E64" s="2" t="e">
        <f ca="1">_xll.ESQuote("AMBUJACEM.EQ-NSE","Company")</f>
        <v>#NAME?</v>
      </c>
      <c r="F64" s="2" t="e">
        <f ca="1">_xll.ESQuote("AMBUJACEM.EQ-NSE","Description")</f>
        <v>#NAME?</v>
      </c>
      <c r="G64" s="2" t="e">
        <f ca="1">_xll.ESQuote("AMBUJACEM.EQ-NSE","Exchange")</f>
        <v>#NAME?</v>
      </c>
      <c r="H64" s="2" t="e">
        <f ca="1">_xll.ESQuote("AMBUJACEM.EQ-NSE","High")</f>
        <v>#NAME?</v>
      </c>
      <c r="I64" s="2" t="e">
        <f ca="1">_xll.ESQuote("AMBUJACEM.EQ-NSE","Last")</f>
        <v>#NAME?</v>
      </c>
      <c r="J64" s="4" t="e">
        <f ca="1">_xll.ESQuote("AMBUJACEM.EQ-NSE","Last_Time")</f>
        <v>#NAME?</v>
      </c>
      <c r="K64" s="2" t="e">
        <f ca="1">_xll.ESQuote("AMBUJACEM.EQ-NSE","Low")</f>
        <v>#NAME?</v>
      </c>
      <c r="L64" s="2" t="e">
        <f ca="1">_xll.ESQuote("AMBUJACEM.EQ-NSE","Open")</f>
        <v>#NAME?</v>
      </c>
      <c r="M64" s="2" t="e">
        <f ca="1">_xll.ESQuote("AMBUJACEM.EQ-NSE","PrevPrice")</f>
        <v>#NAME?</v>
      </c>
      <c r="N64" s="2" t="e">
        <f ca="1">_xll.ESQuote("AMBUJACEM.EQ-NSE","Symbol")</f>
        <v>#NAME?</v>
      </c>
      <c r="O64" s="2" t="e">
        <f ca="1">_xll.ESQuote("AMBUJACEM.EQ-NSE","Volume")</f>
        <v>#NAME?</v>
      </c>
    </row>
    <row r="65" spans="1:15" x14ac:dyDescent="0.25">
      <c r="A65" s="1" t="s">
        <v>77</v>
      </c>
      <c r="B65" s="2" t="e">
        <f ca="1">_xll.ESQuote("AMDIND.EQ-NSE","% Change")</f>
        <v>#NAME?</v>
      </c>
      <c r="C65" s="2" t="e">
        <f ca="1">_xll.ESQuote("AMDIND.EQ-NSE","Change")</f>
        <v>#NAME?</v>
      </c>
      <c r="D65" s="2" t="e">
        <f ca="1">_xll.ESQuote("AMDIND.EQ-NSE","Close")</f>
        <v>#NAME?</v>
      </c>
      <c r="E65" s="2" t="e">
        <f ca="1">_xll.ESQuote("AMDIND.EQ-NSE","Company")</f>
        <v>#NAME?</v>
      </c>
      <c r="F65" s="2" t="e">
        <f ca="1">_xll.ESQuote("AMDIND.EQ-NSE","Description")</f>
        <v>#NAME?</v>
      </c>
      <c r="G65" s="2" t="e">
        <f ca="1">_xll.ESQuote("AMDIND.EQ-NSE","Exchange")</f>
        <v>#NAME?</v>
      </c>
      <c r="H65" s="2" t="e">
        <f ca="1">_xll.ESQuote("AMDIND.EQ-NSE","High")</f>
        <v>#NAME?</v>
      </c>
      <c r="I65" s="2" t="e">
        <f ca="1">_xll.ESQuote("AMDIND.EQ-NSE","Last")</f>
        <v>#NAME?</v>
      </c>
      <c r="J65" s="4" t="e">
        <f ca="1">_xll.ESQuote("AMDIND.EQ-NSE","Last_Time")</f>
        <v>#NAME?</v>
      </c>
      <c r="K65" s="2" t="e">
        <f ca="1">_xll.ESQuote("AMDIND.EQ-NSE","Low")</f>
        <v>#NAME?</v>
      </c>
      <c r="L65" s="2" t="e">
        <f ca="1">_xll.ESQuote("AMDIND.EQ-NSE","Open")</f>
        <v>#NAME?</v>
      </c>
      <c r="M65" s="2" t="e">
        <f ca="1">_xll.ESQuote("AMDIND.EQ-NSE","PrevPrice")</f>
        <v>#NAME?</v>
      </c>
      <c r="N65" s="2" t="e">
        <f ca="1">_xll.ESQuote("AMDIND.EQ-NSE","Symbol")</f>
        <v>#NAME?</v>
      </c>
      <c r="O65" s="2" t="e">
        <f ca="1">_xll.ESQuote("AMDIND.EQ-NSE","Volume")</f>
        <v>#NAME?</v>
      </c>
    </row>
    <row r="66" spans="1:15" x14ac:dyDescent="0.25">
      <c r="A66" s="1" t="s">
        <v>78</v>
      </c>
      <c r="B66" s="2" t="e">
        <f ca="1">_xll.ESQuote("AMRUTANJAN.EQ-NSE","% Change")</f>
        <v>#NAME?</v>
      </c>
      <c r="C66" s="2" t="e">
        <f ca="1">_xll.ESQuote("AMRUTANJAN.EQ-NSE","Change")</f>
        <v>#NAME?</v>
      </c>
      <c r="D66" s="2" t="e">
        <f ca="1">_xll.ESQuote("AMRUTANJAN.EQ-NSE","Close")</f>
        <v>#NAME?</v>
      </c>
      <c r="E66" s="2" t="e">
        <f ca="1">_xll.ESQuote("AMRUTANJAN.EQ-NSE","Company")</f>
        <v>#NAME?</v>
      </c>
      <c r="F66" s="2" t="e">
        <f ca="1">_xll.ESQuote("AMRUTANJAN.EQ-NSE","Description")</f>
        <v>#NAME?</v>
      </c>
      <c r="G66" s="2" t="e">
        <f ca="1">_xll.ESQuote("AMRUTANJAN.EQ-NSE","Exchange")</f>
        <v>#NAME?</v>
      </c>
      <c r="H66" s="2" t="e">
        <f ca="1">_xll.ESQuote("AMRUTANJAN.EQ-NSE","High")</f>
        <v>#NAME?</v>
      </c>
      <c r="I66" s="2" t="e">
        <f ca="1">_xll.ESQuote("AMRUTANJAN.EQ-NSE","Last")</f>
        <v>#NAME?</v>
      </c>
      <c r="J66" s="4" t="e">
        <f ca="1">_xll.ESQuote("AMRUTANJAN.EQ-NSE","Last_Time")</f>
        <v>#NAME?</v>
      </c>
      <c r="K66" s="2" t="e">
        <f ca="1">_xll.ESQuote("AMRUTANJAN.EQ-NSE","Low")</f>
        <v>#NAME?</v>
      </c>
      <c r="L66" s="2" t="e">
        <f ca="1">_xll.ESQuote("AMRUTANJAN.EQ-NSE","Open")</f>
        <v>#NAME?</v>
      </c>
      <c r="M66" s="2" t="e">
        <f ca="1">_xll.ESQuote("AMRUTANJAN.EQ-NSE","PrevPrice")</f>
        <v>#NAME?</v>
      </c>
      <c r="N66" s="2" t="e">
        <f ca="1">_xll.ESQuote("AMRUTANJAN.EQ-NSE","Symbol")</f>
        <v>#NAME?</v>
      </c>
      <c r="O66" s="2" t="e">
        <f ca="1">_xll.ESQuote("AMRUTANJAN.EQ-NSE","Volume")</f>
        <v>#NAME?</v>
      </c>
    </row>
    <row r="67" spans="1:15" x14ac:dyDescent="0.25">
      <c r="A67" s="1" t="s">
        <v>79</v>
      </c>
      <c r="B67" s="2" t="e">
        <f ca="1">_xll.ESQuote("AMTEKAUTO.EQ-NSE","% Change")</f>
        <v>#NAME?</v>
      </c>
      <c r="C67" s="2" t="e">
        <f ca="1">_xll.ESQuote("AMTEKAUTO.EQ-NSE","Change")</f>
        <v>#NAME?</v>
      </c>
      <c r="D67" s="2" t="e">
        <f ca="1">_xll.ESQuote("AMTEKAUTO.EQ-NSE","Close")</f>
        <v>#NAME?</v>
      </c>
      <c r="E67" s="2" t="e">
        <f ca="1">_xll.ESQuote("AMTEKAUTO.EQ-NSE","Company")</f>
        <v>#NAME?</v>
      </c>
      <c r="F67" s="2" t="e">
        <f ca="1">_xll.ESQuote("AMTEKAUTO.EQ-NSE","Description")</f>
        <v>#NAME?</v>
      </c>
      <c r="G67" s="2" t="e">
        <f ca="1">_xll.ESQuote("AMTEKAUTO.EQ-NSE","Exchange")</f>
        <v>#NAME?</v>
      </c>
      <c r="H67" s="2" t="e">
        <f ca="1">_xll.ESQuote("AMTEKAUTO.EQ-NSE","High")</f>
        <v>#NAME?</v>
      </c>
      <c r="I67" s="2" t="e">
        <f ca="1">_xll.ESQuote("AMTEKAUTO.EQ-NSE","Last")</f>
        <v>#NAME?</v>
      </c>
      <c r="J67" s="4" t="e">
        <f ca="1">_xll.ESQuote("AMTEKAUTO.EQ-NSE","Last_Time")</f>
        <v>#NAME?</v>
      </c>
      <c r="K67" s="2" t="e">
        <f ca="1">_xll.ESQuote("AMTEKAUTO.EQ-NSE","Low")</f>
        <v>#NAME?</v>
      </c>
      <c r="L67" s="2" t="e">
        <f ca="1">_xll.ESQuote("AMTEKAUTO.EQ-NSE","Open")</f>
        <v>#NAME?</v>
      </c>
      <c r="M67" s="2" t="e">
        <f ca="1">_xll.ESQuote("AMTEKAUTO.EQ-NSE","PrevPrice")</f>
        <v>#NAME?</v>
      </c>
      <c r="N67" s="2" t="e">
        <f ca="1">_xll.ESQuote("AMTEKAUTO.EQ-NSE","Symbol")</f>
        <v>#NAME?</v>
      </c>
      <c r="O67" s="2" t="e">
        <f ca="1">_xll.ESQuote("AMTEKAUTO.EQ-NSE","Volume")</f>
        <v>#NAME?</v>
      </c>
    </row>
    <row r="68" spans="1:15" x14ac:dyDescent="0.25">
      <c r="A68" s="1" t="s">
        <v>80</v>
      </c>
      <c r="B68" s="2" t="e">
        <f ca="1">_xll.ESQuote("AMTL.EQ-NSE","% Change")</f>
        <v>#NAME?</v>
      </c>
      <c r="C68" s="2" t="e">
        <f ca="1">_xll.ESQuote("AMTL.EQ-NSE","Change")</f>
        <v>#NAME?</v>
      </c>
      <c r="D68" s="2" t="e">
        <f ca="1">_xll.ESQuote("AMTL.EQ-NSE","Close")</f>
        <v>#NAME?</v>
      </c>
      <c r="E68" s="2" t="e">
        <f ca="1">_xll.ESQuote("AMTL.EQ-NSE","Company")</f>
        <v>#NAME?</v>
      </c>
      <c r="F68" s="2" t="e">
        <f ca="1">_xll.ESQuote("AMTL.EQ-NSE","Description")</f>
        <v>#NAME?</v>
      </c>
      <c r="G68" s="2" t="e">
        <f ca="1">_xll.ESQuote("AMTL.EQ-NSE","Exchange")</f>
        <v>#NAME?</v>
      </c>
      <c r="H68" s="2" t="e">
        <f ca="1">_xll.ESQuote("AMTL.EQ-NSE","High")</f>
        <v>#NAME?</v>
      </c>
      <c r="I68" s="2" t="e">
        <f ca="1">_xll.ESQuote("AMTL.EQ-NSE","Last")</f>
        <v>#NAME?</v>
      </c>
      <c r="J68" s="4" t="e">
        <f ca="1">_xll.ESQuote("AMTL.EQ-NSE","Last_Time")</f>
        <v>#NAME?</v>
      </c>
      <c r="K68" s="2" t="e">
        <f ca="1">_xll.ESQuote("AMTL.EQ-NSE","Low")</f>
        <v>#NAME?</v>
      </c>
      <c r="L68" s="2" t="e">
        <f ca="1">_xll.ESQuote("AMTL.EQ-NSE","Open")</f>
        <v>#NAME?</v>
      </c>
      <c r="M68" s="2" t="e">
        <f ca="1">_xll.ESQuote("AMTL.EQ-NSE","PrevPrice")</f>
        <v>#NAME?</v>
      </c>
      <c r="N68" s="2" t="e">
        <f ca="1">_xll.ESQuote("AMTL.EQ-NSE","Symbol")</f>
        <v>#NAME?</v>
      </c>
      <c r="O68" s="2" t="e">
        <f ca="1">_xll.ESQuote("AMTL.EQ-NSE","Volume")</f>
        <v>#NAME?</v>
      </c>
    </row>
    <row r="69" spans="1:15" x14ac:dyDescent="0.25">
      <c r="A69" s="1" t="s">
        <v>81</v>
      </c>
      <c r="B69" s="2" t="e">
        <f ca="1">_xll.ESQuote("ANANTRAJ.EQ-NSE","% Change")</f>
        <v>#NAME?</v>
      </c>
      <c r="C69" s="2" t="e">
        <f ca="1">_xll.ESQuote("ANANTRAJ.EQ-NSE","Change")</f>
        <v>#NAME?</v>
      </c>
      <c r="D69" s="2" t="e">
        <f ca="1">_xll.ESQuote("ANANTRAJ.EQ-NSE","Close")</f>
        <v>#NAME?</v>
      </c>
      <c r="E69" s="2" t="e">
        <f ca="1">_xll.ESQuote("ANANTRAJ.EQ-NSE","Company")</f>
        <v>#NAME?</v>
      </c>
      <c r="F69" s="2" t="e">
        <f ca="1">_xll.ESQuote("ANANTRAJ.EQ-NSE","Description")</f>
        <v>#NAME?</v>
      </c>
      <c r="G69" s="2" t="e">
        <f ca="1">_xll.ESQuote("ANANTRAJ.EQ-NSE","Exchange")</f>
        <v>#NAME?</v>
      </c>
      <c r="H69" s="2" t="e">
        <f ca="1">_xll.ESQuote("ANANTRAJ.EQ-NSE","High")</f>
        <v>#NAME?</v>
      </c>
      <c r="I69" s="2" t="e">
        <f ca="1">_xll.ESQuote("ANANTRAJ.EQ-NSE","Last")</f>
        <v>#NAME?</v>
      </c>
      <c r="J69" s="4" t="e">
        <f ca="1">_xll.ESQuote("ANANTRAJ.EQ-NSE","Last_Time")</f>
        <v>#NAME?</v>
      </c>
      <c r="K69" s="2" t="e">
        <f ca="1">_xll.ESQuote("ANANTRAJ.EQ-NSE","Low")</f>
        <v>#NAME?</v>
      </c>
      <c r="L69" s="2" t="e">
        <f ca="1">_xll.ESQuote("ANANTRAJ.EQ-NSE","Open")</f>
        <v>#NAME?</v>
      </c>
      <c r="M69" s="2" t="e">
        <f ca="1">_xll.ESQuote("ANANTRAJ.EQ-NSE","PrevPrice")</f>
        <v>#NAME?</v>
      </c>
      <c r="N69" s="2" t="e">
        <f ca="1">_xll.ESQuote("ANANTRAJ.EQ-NSE","Symbol")</f>
        <v>#NAME?</v>
      </c>
      <c r="O69" s="2" t="e">
        <f ca="1">_xll.ESQuote("ANANTRAJ.EQ-NSE","Volume")</f>
        <v>#NAME?</v>
      </c>
    </row>
    <row r="70" spans="1:15" x14ac:dyDescent="0.25">
      <c r="A70" s="1" t="s">
        <v>82</v>
      </c>
      <c r="B70" s="2" t="e">
        <f ca="1">_xll.ESQuote("ANDHRABANK.EQ-NSE","% Change")</f>
        <v>#NAME?</v>
      </c>
      <c r="C70" s="2" t="e">
        <f ca="1">_xll.ESQuote("ANDHRABANK.EQ-NSE","Change")</f>
        <v>#NAME?</v>
      </c>
      <c r="D70" s="2" t="e">
        <f ca="1">_xll.ESQuote("ANDHRABANK.EQ-NSE","Close")</f>
        <v>#NAME?</v>
      </c>
      <c r="E70" s="2" t="e">
        <f ca="1">_xll.ESQuote("ANDHRABANK.EQ-NSE","Company")</f>
        <v>#NAME?</v>
      </c>
      <c r="F70" s="2" t="e">
        <f ca="1">_xll.ESQuote("ANDHRABANK.EQ-NSE","Description")</f>
        <v>#NAME?</v>
      </c>
      <c r="G70" s="2" t="e">
        <f ca="1">_xll.ESQuote("ANDHRABANK.EQ-NSE","Exchange")</f>
        <v>#NAME?</v>
      </c>
      <c r="H70" s="2" t="e">
        <f ca="1">_xll.ESQuote("ANDHRABANK.EQ-NSE","High")</f>
        <v>#NAME?</v>
      </c>
      <c r="I70" s="2" t="e">
        <f ca="1">_xll.ESQuote("ANDHRABANK.EQ-NSE","Last")</f>
        <v>#NAME?</v>
      </c>
      <c r="J70" s="4" t="e">
        <f ca="1">_xll.ESQuote("ANDHRABANK.EQ-NSE","Last_Time")</f>
        <v>#NAME?</v>
      </c>
      <c r="K70" s="2" t="e">
        <f ca="1">_xll.ESQuote("ANDHRABANK.EQ-NSE","Low")</f>
        <v>#NAME?</v>
      </c>
      <c r="L70" s="2" t="e">
        <f ca="1">_xll.ESQuote("ANDHRABANK.EQ-NSE","Open")</f>
        <v>#NAME?</v>
      </c>
      <c r="M70" s="2" t="e">
        <f ca="1">_xll.ESQuote("ANDHRABANK.EQ-NSE","PrevPrice")</f>
        <v>#NAME?</v>
      </c>
      <c r="N70" s="2" t="e">
        <f ca="1">_xll.ESQuote("ANDHRABANK.EQ-NSE","Symbol")</f>
        <v>#NAME?</v>
      </c>
      <c r="O70" s="2" t="e">
        <f ca="1">_xll.ESQuote("ANDHRABANK.EQ-NSE","Volume")</f>
        <v>#NAME?</v>
      </c>
    </row>
    <row r="71" spans="1:15" x14ac:dyDescent="0.25">
      <c r="A71" s="1" t="s">
        <v>83</v>
      </c>
      <c r="B71" s="2" t="e">
        <f ca="1">_xll.ESQuote("ANDHRACEMT.EQ-NSE","% Change")</f>
        <v>#NAME?</v>
      </c>
      <c r="C71" s="2" t="e">
        <f ca="1">_xll.ESQuote("ANDHRACEMT.EQ-NSE","Change")</f>
        <v>#NAME?</v>
      </c>
      <c r="D71" s="2" t="e">
        <f ca="1">_xll.ESQuote("ANDHRACEMT.EQ-NSE","Close")</f>
        <v>#NAME?</v>
      </c>
      <c r="E71" s="2" t="e">
        <f ca="1">_xll.ESQuote("ANDHRACEMT.EQ-NSE","Company")</f>
        <v>#NAME?</v>
      </c>
      <c r="F71" s="2" t="e">
        <f ca="1">_xll.ESQuote("ANDHRACEMT.EQ-NSE","Description")</f>
        <v>#NAME?</v>
      </c>
      <c r="G71" s="2" t="e">
        <f ca="1">_xll.ESQuote("ANDHRACEMT.EQ-NSE","Exchange")</f>
        <v>#NAME?</v>
      </c>
      <c r="H71" s="2" t="e">
        <f ca="1">_xll.ESQuote("ANDHRACEMT.EQ-NSE","High")</f>
        <v>#NAME?</v>
      </c>
      <c r="I71" s="2" t="e">
        <f ca="1">_xll.ESQuote("ANDHRACEMT.EQ-NSE","Last")</f>
        <v>#NAME?</v>
      </c>
      <c r="J71" s="4" t="e">
        <f ca="1">_xll.ESQuote("ANDHRACEMT.EQ-NSE","Last_Time")</f>
        <v>#NAME?</v>
      </c>
      <c r="K71" s="2" t="e">
        <f ca="1">_xll.ESQuote("ANDHRACEMT.EQ-NSE","Low")</f>
        <v>#NAME?</v>
      </c>
      <c r="L71" s="2" t="e">
        <f ca="1">_xll.ESQuote("ANDHRACEMT.EQ-NSE","Open")</f>
        <v>#NAME?</v>
      </c>
      <c r="M71" s="2" t="e">
        <f ca="1">_xll.ESQuote("ANDHRACEMT.EQ-NSE","PrevPrice")</f>
        <v>#NAME?</v>
      </c>
      <c r="N71" s="2" t="e">
        <f ca="1">_xll.ESQuote("ANDHRACEMT.EQ-NSE","Symbol")</f>
        <v>#NAME?</v>
      </c>
      <c r="O71" s="2" t="e">
        <f ca="1">_xll.ESQuote("ANDHRACEMT.EQ-NSE","Volume")</f>
        <v>#NAME?</v>
      </c>
    </row>
    <row r="72" spans="1:15" x14ac:dyDescent="0.25">
      <c r="A72" s="1" t="s">
        <v>84</v>
      </c>
      <c r="B72" s="2" t="e">
        <f ca="1">_xll.ESQuote("ANDHRSUGAR.EQ-NSE","% Change")</f>
        <v>#NAME?</v>
      </c>
      <c r="C72" s="2" t="e">
        <f ca="1">_xll.ESQuote("ANDHRSUGAR.EQ-NSE","Change")</f>
        <v>#NAME?</v>
      </c>
      <c r="D72" s="2" t="e">
        <f ca="1">_xll.ESQuote("ANDHRSUGAR.EQ-NSE","Close")</f>
        <v>#NAME?</v>
      </c>
      <c r="E72" s="2" t="e">
        <f ca="1">_xll.ESQuote("ANDHRSUGAR.EQ-NSE","Company")</f>
        <v>#NAME?</v>
      </c>
      <c r="F72" s="2" t="e">
        <f ca="1">_xll.ESQuote("ANDHRSUGAR.EQ-NSE","Description")</f>
        <v>#NAME?</v>
      </c>
      <c r="G72" s="2" t="e">
        <f ca="1">_xll.ESQuote("ANDHRSUGAR.EQ-NSE","Exchange")</f>
        <v>#NAME?</v>
      </c>
      <c r="H72" s="2" t="e">
        <f ca="1">_xll.ESQuote("ANDHRSUGAR.EQ-NSE","High")</f>
        <v>#NAME?</v>
      </c>
      <c r="I72" s="2" t="e">
        <f ca="1">_xll.ESQuote("ANDHRSUGAR.EQ-NSE","Last")</f>
        <v>#NAME?</v>
      </c>
      <c r="J72" s="4" t="e">
        <f ca="1">_xll.ESQuote("ANDHRSUGAR.EQ-NSE","Last_Time")</f>
        <v>#NAME?</v>
      </c>
      <c r="K72" s="2" t="e">
        <f ca="1">_xll.ESQuote("ANDHRSUGAR.EQ-NSE","Low")</f>
        <v>#NAME?</v>
      </c>
      <c r="L72" s="2" t="e">
        <f ca="1">_xll.ESQuote("ANDHRSUGAR.EQ-NSE","Open")</f>
        <v>#NAME?</v>
      </c>
      <c r="M72" s="2" t="e">
        <f ca="1">_xll.ESQuote("ANDHRSUGAR.EQ-NSE","PrevPrice")</f>
        <v>#NAME?</v>
      </c>
      <c r="N72" s="2" t="e">
        <f ca="1">_xll.ESQuote("ANDHRSUGAR.EQ-NSE","Symbol")</f>
        <v>#NAME?</v>
      </c>
      <c r="O72" s="2" t="e">
        <f ca="1">_xll.ESQuote("ANDHRSUGAR.EQ-NSE","Volume")</f>
        <v>#NAME?</v>
      </c>
    </row>
    <row r="73" spans="1:15" x14ac:dyDescent="0.25">
      <c r="A73" s="1" t="s">
        <v>85</v>
      </c>
      <c r="B73" s="2" t="e">
        <f ca="1">_xll.ESQuote("ANGIND.EQ-NSE","% Change")</f>
        <v>#NAME?</v>
      </c>
      <c r="C73" s="2" t="e">
        <f ca="1">_xll.ESQuote("ANGIND.EQ-NSE","Change")</f>
        <v>#NAME?</v>
      </c>
      <c r="D73" s="2" t="e">
        <f ca="1">_xll.ESQuote("ANGIND.EQ-NSE","Close")</f>
        <v>#NAME?</v>
      </c>
      <c r="E73" s="2" t="e">
        <f ca="1">_xll.ESQuote("ANGIND.EQ-NSE","Company")</f>
        <v>#NAME?</v>
      </c>
      <c r="F73" s="2" t="e">
        <f ca="1">_xll.ESQuote("ANGIND.EQ-NSE","Description")</f>
        <v>#NAME?</v>
      </c>
      <c r="G73" s="2" t="e">
        <f ca="1">_xll.ESQuote("ANGIND.EQ-NSE","Exchange")</f>
        <v>#NAME?</v>
      </c>
      <c r="H73" s="2" t="e">
        <f ca="1">_xll.ESQuote("ANGIND.EQ-NSE","High")</f>
        <v>#NAME?</v>
      </c>
      <c r="I73" s="2" t="e">
        <f ca="1">_xll.ESQuote("ANGIND.EQ-NSE","Last")</f>
        <v>#NAME?</v>
      </c>
      <c r="J73" s="4" t="e">
        <f ca="1">_xll.ESQuote("ANGIND.EQ-NSE","Last_Time")</f>
        <v>#NAME?</v>
      </c>
      <c r="K73" s="2" t="e">
        <f ca="1">_xll.ESQuote("ANGIND.EQ-NSE","Low")</f>
        <v>#NAME?</v>
      </c>
      <c r="L73" s="2" t="e">
        <f ca="1">_xll.ESQuote("ANGIND.EQ-NSE","Open")</f>
        <v>#NAME?</v>
      </c>
      <c r="M73" s="2" t="e">
        <f ca="1">_xll.ESQuote("ANGIND.EQ-NSE","PrevPrice")</f>
        <v>#NAME?</v>
      </c>
      <c r="N73" s="2" t="e">
        <f ca="1">_xll.ESQuote("ANGIND.EQ-NSE","Symbol")</f>
        <v>#NAME?</v>
      </c>
      <c r="O73" s="2" t="e">
        <f ca="1">_xll.ESQuote("ANGIND.EQ-NSE","Volume")</f>
        <v>#NAME?</v>
      </c>
    </row>
    <row r="74" spans="1:15" x14ac:dyDescent="0.25">
      <c r="A74" s="1" t="s">
        <v>86</v>
      </c>
      <c r="B74" s="2" t="e">
        <f ca="1">_xll.ESQuote("ANIKINDS.EQ-NSE","% Change")</f>
        <v>#NAME?</v>
      </c>
      <c r="C74" s="2" t="e">
        <f ca="1">_xll.ESQuote("ANIKINDS.EQ-NSE","Change")</f>
        <v>#NAME?</v>
      </c>
      <c r="D74" s="2" t="e">
        <f ca="1">_xll.ESQuote("ANIKINDS.EQ-NSE","Close")</f>
        <v>#NAME?</v>
      </c>
      <c r="E74" s="2" t="e">
        <f ca="1">_xll.ESQuote("ANIKINDS.EQ-NSE","Company")</f>
        <v>#NAME?</v>
      </c>
      <c r="F74" s="2" t="e">
        <f ca="1">_xll.ESQuote("ANIKINDS.EQ-NSE","Description")</f>
        <v>#NAME?</v>
      </c>
      <c r="G74" s="2" t="e">
        <f ca="1">_xll.ESQuote("ANIKINDS.EQ-NSE","Exchange")</f>
        <v>#NAME?</v>
      </c>
      <c r="H74" s="2" t="e">
        <f ca="1">_xll.ESQuote("ANIKINDS.EQ-NSE","High")</f>
        <v>#NAME?</v>
      </c>
      <c r="I74" s="2" t="e">
        <f ca="1">_xll.ESQuote("ANIKINDS.EQ-NSE","Last")</f>
        <v>#NAME?</v>
      </c>
      <c r="J74" s="4" t="e">
        <f ca="1">_xll.ESQuote("ANIKINDS.EQ-NSE","Last_Time")</f>
        <v>#NAME?</v>
      </c>
      <c r="K74" s="2" t="e">
        <f ca="1">_xll.ESQuote("ANIKINDS.EQ-NSE","Low")</f>
        <v>#NAME?</v>
      </c>
      <c r="L74" s="2" t="e">
        <f ca="1">_xll.ESQuote("ANIKINDS.EQ-NSE","Open")</f>
        <v>#NAME?</v>
      </c>
      <c r="M74" s="2" t="e">
        <f ca="1">_xll.ESQuote("ANIKINDS.EQ-NSE","PrevPrice")</f>
        <v>#NAME?</v>
      </c>
      <c r="N74" s="2" t="e">
        <f ca="1">_xll.ESQuote("ANIKINDS.EQ-NSE","Symbol")</f>
        <v>#NAME?</v>
      </c>
      <c r="O74" s="2" t="e">
        <f ca="1">_xll.ESQuote("ANIKINDS.EQ-NSE","Volume")</f>
        <v>#NAME?</v>
      </c>
    </row>
    <row r="75" spans="1:15" x14ac:dyDescent="0.25">
      <c r="A75" s="1" t="s">
        <v>87</v>
      </c>
      <c r="B75" s="2" t="e">
        <f ca="1">_xll.ESQuote("ANKITMETAL.EQ-NSE","% Change")</f>
        <v>#NAME?</v>
      </c>
      <c r="C75" s="2" t="e">
        <f ca="1">_xll.ESQuote("ANKITMETAL.EQ-NSE","Change")</f>
        <v>#NAME?</v>
      </c>
      <c r="D75" s="2" t="e">
        <f ca="1">_xll.ESQuote("ANKITMETAL.EQ-NSE","Close")</f>
        <v>#NAME?</v>
      </c>
      <c r="E75" s="2" t="e">
        <f ca="1">_xll.ESQuote("ANKITMETAL.EQ-NSE","Company")</f>
        <v>#NAME?</v>
      </c>
      <c r="F75" s="2" t="e">
        <f ca="1">_xll.ESQuote("ANKITMETAL.EQ-NSE","Description")</f>
        <v>#NAME?</v>
      </c>
      <c r="G75" s="2" t="e">
        <f ca="1">_xll.ESQuote("ANKITMETAL.EQ-NSE","Exchange")</f>
        <v>#NAME?</v>
      </c>
      <c r="H75" s="2" t="e">
        <f ca="1">_xll.ESQuote("ANKITMETAL.EQ-NSE","High")</f>
        <v>#NAME?</v>
      </c>
      <c r="I75" s="2" t="e">
        <f ca="1">_xll.ESQuote("ANKITMETAL.EQ-NSE","Last")</f>
        <v>#NAME?</v>
      </c>
      <c r="J75" s="4" t="e">
        <f ca="1">_xll.ESQuote("ANKITMETAL.EQ-NSE","Last_Time")</f>
        <v>#NAME?</v>
      </c>
      <c r="K75" s="2" t="e">
        <f ca="1">_xll.ESQuote("ANKITMETAL.EQ-NSE","Low")</f>
        <v>#NAME?</v>
      </c>
      <c r="L75" s="2" t="e">
        <f ca="1">_xll.ESQuote("ANKITMETAL.EQ-NSE","Open")</f>
        <v>#NAME?</v>
      </c>
      <c r="M75" s="2" t="e">
        <f ca="1">_xll.ESQuote("ANKITMETAL.EQ-NSE","PrevPrice")</f>
        <v>#NAME?</v>
      </c>
      <c r="N75" s="2" t="e">
        <f ca="1">_xll.ESQuote("ANKITMETAL.EQ-NSE","Symbol")</f>
        <v>#NAME?</v>
      </c>
      <c r="O75" s="2" t="e">
        <f ca="1">_xll.ESQuote("ANKITMETAL.EQ-NSE","Volume")</f>
        <v>#NAME?</v>
      </c>
    </row>
    <row r="76" spans="1:15" x14ac:dyDescent="0.25">
      <c r="A76" s="1" t="s">
        <v>88</v>
      </c>
      <c r="B76" s="2" t="e">
        <f ca="1">_xll.ESQuote("ANSALAPI.EQ-NSE","% Change")</f>
        <v>#NAME?</v>
      </c>
      <c r="C76" s="2" t="e">
        <f ca="1">_xll.ESQuote("ANSALAPI.EQ-NSE","Change")</f>
        <v>#NAME?</v>
      </c>
      <c r="D76" s="2" t="e">
        <f ca="1">_xll.ESQuote("ANSALAPI.EQ-NSE","Close")</f>
        <v>#NAME?</v>
      </c>
      <c r="E76" s="2" t="e">
        <f ca="1">_xll.ESQuote("ANSALAPI.EQ-NSE","Company")</f>
        <v>#NAME?</v>
      </c>
      <c r="F76" s="2" t="e">
        <f ca="1">_xll.ESQuote("ANSALAPI.EQ-NSE","Description")</f>
        <v>#NAME?</v>
      </c>
      <c r="G76" s="2" t="e">
        <f ca="1">_xll.ESQuote("ANSALAPI.EQ-NSE","Exchange")</f>
        <v>#NAME?</v>
      </c>
      <c r="H76" s="2" t="e">
        <f ca="1">_xll.ESQuote("ANSALAPI.EQ-NSE","High")</f>
        <v>#NAME?</v>
      </c>
      <c r="I76" s="2" t="e">
        <f ca="1">_xll.ESQuote("ANSALAPI.EQ-NSE","Last")</f>
        <v>#NAME?</v>
      </c>
      <c r="J76" s="4" t="e">
        <f ca="1">_xll.ESQuote("ANSALAPI.EQ-NSE","Last_Time")</f>
        <v>#NAME?</v>
      </c>
      <c r="K76" s="2" t="e">
        <f ca="1">_xll.ESQuote("ANSALAPI.EQ-NSE","Low")</f>
        <v>#NAME?</v>
      </c>
      <c r="L76" s="2" t="e">
        <f ca="1">_xll.ESQuote("ANSALAPI.EQ-NSE","Open")</f>
        <v>#NAME?</v>
      </c>
      <c r="M76" s="2" t="e">
        <f ca="1">_xll.ESQuote("ANSALAPI.EQ-NSE","PrevPrice")</f>
        <v>#NAME?</v>
      </c>
      <c r="N76" s="2" t="e">
        <f ca="1">_xll.ESQuote("ANSALAPI.EQ-NSE","Symbol")</f>
        <v>#NAME?</v>
      </c>
      <c r="O76" s="2" t="e">
        <f ca="1">_xll.ESQuote("ANSALAPI.EQ-NSE","Volume")</f>
        <v>#NAME?</v>
      </c>
    </row>
    <row r="77" spans="1:15" x14ac:dyDescent="0.25">
      <c r="A77" s="1" t="s">
        <v>89</v>
      </c>
      <c r="B77" s="2" t="e">
        <f ca="1">_xll.ESQuote("ANSALHSG.EQ-NSE","% Change")</f>
        <v>#NAME?</v>
      </c>
      <c r="C77" s="2" t="e">
        <f ca="1">_xll.ESQuote("ANSALHSG.EQ-NSE","Change")</f>
        <v>#NAME?</v>
      </c>
      <c r="D77" s="2" t="e">
        <f ca="1">_xll.ESQuote("ANSALHSG.EQ-NSE","Close")</f>
        <v>#NAME?</v>
      </c>
      <c r="E77" s="2" t="e">
        <f ca="1">_xll.ESQuote("ANSALHSG.EQ-NSE","Company")</f>
        <v>#NAME?</v>
      </c>
      <c r="F77" s="2" t="e">
        <f ca="1">_xll.ESQuote("ANSALHSG.EQ-NSE","Description")</f>
        <v>#NAME?</v>
      </c>
      <c r="G77" s="2" t="e">
        <f ca="1">_xll.ESQuote("ANSALHSG.EQ-NSE","Exchange")</f>
        <v>#NAME?</v>
      </c>
      <c r="H77" s="2" t="e">
        <f ca="1">_xll.ESQuote("ANSALHSG.EQ-NSE","High")</f>
        <v>#NAME?</v>
      </c>
      <c r="I77" s="2" t="e">
        <f ca="1">_xll.ESQuote("ANSALHSG.EQ-NSE","Last")</f>
        <v>#NAME?</v>
      </c>
      <c r="J77" s="4" t="e">
        <f ca="1">_xll.ESQuote("ANSALHSG.EQ-NSE","Last_Time")</f>
        <v>#NAME?</v>
      </c>
      <c r="K77" s="2" t="e">
        <f ca="1">_xll.ESQuote("ANSALHSG.EQ-NSE","Low")</f>
        <v>#NAME?</v>
      </c>
      <c r="L77" s="2" t="e">
        <f ca="1">_xll.ESQuote("ANSALHSG.EQ-NSE","Open")</f>
        <v>#NAME?</v>
      </c>
      <c r="M77" s="2" t="e">
        <f ca="1">_xll.ESQuote("ANSALHSG.EQ-NSE","PrevPrice")</f>
        <v>#NAME?</v>
      </c>
      <c r="N77" s="2" t="e">
        <f ca="1">_xll.ESQuote("ANSALHSG.EQ-NSE","Symbol")</f>
        <v>#NAME?</v>
      </c>
      <c r="O77" s="2" t="e">
        <f ca="1">_xll.ESQuote("ANSALHSG.EQ-NSE","Volume")</f>
        <v>#NAME?</v>
      </c>
    </row>
    <row r="78" spans="1:15" x14ac:dyDescent="0.25">
      <c r="A78" s="1" t="s">
        <v>90</v>
      </c>
      <c r="B78" s="2" t="e">
        <f ca="1">_xll.ESQuote("ANTGRAPHIC.EQ-NSE","% Change")</f>
        <v>#NAME?</v>
      </c>
      <c r="C78" s="2" t="e">
        <f ca="1">_xll.ESQuote("ANTGRAPHIC.EQ-NSE","Change")</f>
        <v>#NAME?</v>
      </c>
      <c r="D78" s="2" t="e">
        <f ca="1">_xll.ESQuote("ANTGRAPHIC.EQ-NSE","Close")</f>
        <v>#NAME?</v>
      </c>
      <c r="E78" s="2" t="e">
        <f ca="1">_xll.ESQuote("ANTGRAPHIC.EQ-NSE","Company")</f>
        <v>#NAME?</v>
      </c>
      <c r="F78" s="2" t="e">
        <f ca="1">_xll.ESQuote("ANTGRAPHIC.EQ-NSE","Description")</f>
        <v>#NAME?</v>
      </c>
      <c r="G78" s="2" t="e">
        <f ca="1">_xll.ESQuote("ANTGRAPHIC.EQ-NSE","Exchange")</f>
        <v>#NAME?</v>
      </c>
      <c r="H78" s="2" t="e">
        <f ca="1">_xll.ESQuote("ANTGRAPHIC.EQ-NSE","High")</f>
        <v>#NAME?</v>
      </c>
      <c r="I78" s="2" t="e">
        <f ca="1">_xll.ESQuote("ANTGRAPHIC.EQ-NSE","Last")</f>
        <v>#NAME?</v>
      </c>
      <c r="J78" s="4" t="e">
        <f ca="1">_xll.ESQuote("ANTGRAPHIC.EQ-NSE","Last_Time")</f>
        <v>#NAME?</v>
      </c>
      <c r="K78" s="2" t="e">
        <f ca="1">_xll.ESQuote("ANTGRAPHIC.EQ-NSE","Low")</f>
        <v>#NAME?</v>
      </c>
      <c r="L78" s="2" t="e">
        <f ca="1">_xll.ESQuote("ANTGRAPHIC.EQ-NSE","Open")</f>
        <v>#NAME?</v>
      </c>
      <c r="M78" s="2" t="e">
        <f ca="1">_xll.ESQuote("ANTGRAPHIC.EQ-NSE","PrevPrice")</f>
        <v>#NAME?</v>
      </c>
      <c r="N78" s="2" t="e">
        <f ca="1">_xll.ESQuote("ANTGRAPHIC.EQ-NSE","Symbol")</f>
        <v>#NAME?</v>
      </c>
      <c r="O78" s="2" t="e">
        <f ca="1">_xll.ESQuote("ANTGRAPHIC.EQ-NSE","Volume")</f>
        <v>#NAME?</v>
      </c>
    </row>
    <row r="79" spans="1:15" x14ac:dyDescent="0.25">
      <c r="A79" s="1" t="s">
        <v>91</v>
      </c>
      <c r="B79" s="2" t="e">
        <f ca="1">_xll.ESQuote("APARINDS.EQ-NSE","% Change")</f>
        <v>#NAME?</v>
      </c>
      <c r="C79" s="2" t="e">
        <f ca="1">_xll.ESQuote("APARINDS.EQ-NSE","Change")</f>
        <v>#NAME?</v>
      </c>
      <c r="D79" s="2" t="e">
        <f ca="1">_xll.ESQuote("APARINDS.EQ-NSE","Close")</f>
        <v>#NAME?</v>
      </c>
      <c r="E79" s="2" t="e">
        <f ca="1">_xll.ESQuote("APARINDS.EQ-NSE","Company")</f>
        <v>#NAME?</v>
      </c>
      <c r="F79" s="2" t="e">
        <f ca="1">_xll.ESQuote("APARINDS.EQ-NSE","Description")</f>
        <v>#NAME?</v>
      </c>
      <c r="G79" s="2" t="e">
        <f ca="1">_xll.ESQuote("APARINDS.EQ-NSE","Exchange")</f>
        <v>#NAME?</v>
      </c>
      <c r="H79" s="2" t="e">
        <f ca="1">_xll.ESQuote("APARINDS.EQ-NSE","High")</f>
        <v>#NAME?</v>
      </c>
      <c r="I79" s="2" t="e">
        <f ca="1">_xll.ESQuote("APARINDS.EQ-NSE","Last")</f>
        <v>#NAME?</v>
      </c>
      <c r="J79" s="4" t="e">
        <f ca="1">_xll.ESQuote("APARINDS.EQ-NSE","Last_Time")</f>
        <v>#NAME?</v>
      </c>
      <c r="K79" s="2" t="e">
        <f ca="1">_xll.ESQuote("APARINDS.EQ-NSE","Low")</f>
        <v>#NAME?</v>
      </c>
      <c r="L79" s="2" t="e">
        <f ca="1">_xll.ESQuote("APARINDS.EQ-NSE","Open")</f>
        <v>#NAME?</v>
      </c>
      <c r="M79" s="2" t="e">
        <f ca="1">_xll.ESQuote("APARINDS.EQ-NSE","PrevPrice")</f>
        <v>#NAME?</v>
      </c>
      <c r="N79" s="2" t="e">
        <f ca="1">_xll.ESQuote("APARINDS.EQ-NSE","Symbol")</f>
        <v>#NAME?</v>
      </c>
      <c r="O79" s="2" t="e">
        <f ca="1">_xll.ESQuote("APARINDS.EQ-NSE","Volume")</f>
        <v>#NAME?</v>
      </c>
    </row>
    <row r="80" spans="1:15" x14ac:dyDescent="0.25">
      <c r="A80" s="1" t="s">
        <v>92</v>
      </c>
      <c r="B80" s="2" t="e">
        <f ca="1">_xll.ESQuote("APCOTEXIND.EQ-NSE","% Change")</f>
        <v>#NAME?</v>
      </c>
      <c r="C80" s="2" t="e">
        <f ca="1">_xll.ESQuote("APCOTEXIND.EQ-NSE","Change")</f>
        <v>#NAME?</v>
      </c>
      <c r="D80" s="2" t="e">
        <f ca="1">_xll.ESQuote("APCOTEXIND.EQ-NSE","Close")</f>
        <v>#NAME?</v>
      </c>
      <c r="E80" s="2" t="e">
        <f ca="1">_xll.ESQuote("APCOTEXIND.EQ-NSE","Company")</f>
        <v>#NAME?</v>
      </c>
      <c r="F80" s="2" t="e">
        <f ca="1">_xll.ESQuote("APCOTEXIND.EQ-NSE","Description")</f>
        <v>#NAME?</v>
      </c>
      <c r="G80" s="2" t="e">
        <f ca="1">_xll.ESQuote("APCOTEXIND.EQ-NSE","Exchange")</f>
        <v>#NAME?</v>
      </c>
      <c r="H80" s="2" t="e">
        <f ca="1">_xll.ESQuote("APCOTEXIND.EQ-NSE","High")</f>
        <v>#NAME?</v>
      </c>
      <c r="I80" s="2" t="e">
        <f ca="1">_xll.ESQuote("APCOTEXIND.EQ-NSE","Last")</f>
        <v>#NAME?</v>
      </c>
      <c r="J80" s="4" t="e">
        <f ca="1">_xll.ESQuote("APCOTEXIND.EQ-NSE","Last_Time")</f>
        <v>#NAME?</v>
      </c>
      <c r="K80" s="2" t="e">
        <f ca="1">_xll.ESQuote("APCOTEXIND.EQ-NSE","Low")</f>
        <v>#NAME?</v>
      </c>
      <c r="L80" s="2" t="e">
        <f ca="1">_xll.ESQuote("APCOTEXIND.EQ-NSE","Open")</f>
        <v>#NAME?</v>
      </c>
      <c r="M80" s="2" t="e">
        <f ca="1">_xll.ESQuote("APCOTEXIND.EQ-NSE","PrevPrice")</f>
        <v>#NAME?</v>
      </c>
      <c r="N80" s="2" t="e">
        <f ca="1">_xll.ESQuote("APCOTEXIND.EQ-NSE","Symbol")</f>
        <v>#NAME?</v>
      </c>
      <c r="O80" s="2" t="e">
        <f ca="1">_xll.ESQuote("APCOTEXIND.EQ-NSE","Volume")</f>
        <v>#NAME?</v>
      </c>
    </row>
    <row r="81" spans="1:15" x14ac:dyDescent="0.25">
      <c r="A81" s="1" t="s">
        <v>93</v>
      </c>
      <c r="B81" s="2" t="e">
        <f ca="1">_xll.ESQuote("APLAPOLLO.EQ-NSE","% Change")</f>
        <v>#NAME?</v>
      </c>
      <c r="C81" s="2" t="e">
        <f ca="1">_xll.ESQuote("APLAPOLLO.EQ-NSE","Change")</f>
        <v>#NAME?</v>
      </c>
      <c r="D81" s="2" t="e">
        <f ca="1">_xll.ESQuote("APLAPOLLO.EQ-NSE","Close")</f>
        <v>#NAME?</v>
      </c>
      <c r="E81" s="2" t="e">
        <f ca="1">_xll.ESQuote("APLAPOLLO.EQ-NSE","Company")</f>
        <v>#NAME?</v>
      </c>
      <c r="F81" s="2" t="e">
        <f ca="1">_xll.ESQuote("APLAPOLLO.EQ-NSE","Description")</f>
        <v>#NAME?</v>
      </c>
      <c r="G81" s="2" t="e">
        <f ca="1">_xll.ESQuote("APLAPOLLO.EQ-NSE","Exchange")</f>
        <v>#NAME?</v>
      </c>
      <c r="H81" s="2" t="e">
        <f ca="1">_xll.ESQuote("APLAPOLLO.EQ-NSE","High")</f>
        <v>#NAME?</v>
      </c>
      <c r="I81" s="2" t="e">
        <f ca="1">_xll.ESQuote("APLAPOLLO.EQ-NSE","Last")</f>
        <v>#NAME?</v>
      </c>
      <c r="J81" s="4" t="e">
        <f ca="1">_xll.ESQuote("APLAPOLLO.EQ-NSE","Last_Time")</f>
        <v>#NAME?</v>
      </c>
      <c r="K81" s="2" t="e">
        <f ca="1">_xll.ESQuote("APLAPOLLO.EQ-NSE","Low")</f>
        <v>#NAME?</v>
      </c>
      <c r="L81" s="2" t="e">
        <f ca="1">_xll.ESQuote("APLAPOLLO.EQ-NSE","Open")</f>
        <v>#NAME?</v>
      </c>
      <c r="M81" s="2" t="e">
        <f ca="1">_xll.ESQuote("APLAPOLLO.EQ-NSE","PrevPrice")</f>
        <v>#NAME?</v>
      </c>
      <c r="N81" s="2" t="e">
        <f ca="1">_xll.ESQuote("APLAPOLLO.EQ-NSE","Symbol")</f>
        <v>#NAME?</v>
      </c>
      <c r="O81" s="2" t="e">
        <f ca="1">_xll.ESQuote("APLAPOLLO.EQ-NSE","Volume")</f>
        <v>#NAME?</v>
      </c>
    </row>
    <row r="82" spans="1:15" x14ac:dyDescent="0.25">
      <c r="A82" s="1" t="s">
        <v>94</v>
      </c>
      <c r="B82" s="2" t="e">
        <f ca="1">_xll.ESQuote("APLLTD.EQ-NSE","% Change")</f>
        <v>#NAME?</v>
      </c>
      <c r="C82" s="2" t="e">
        <f ca="1">_xll.ESQuote("APLLTD.EQ-NSE","Change")</f>
        <v>#NAME?</v>
      </c>
      <c r="D82" s="2" t="e">
        <f ca="1">_xll.ESQuote("APLLTD.EQ-NSE","Close")</f>
        <v>#NAME?</v>
      </c>
      <c r="E82" s="2" t="e">
        <f ca="1">_xll.ESQuote("APLLTD.EQ-NSE","Company")</f>
        <v>#NAME?</v>
      </c>
      <c r="F82" s="2" t="e">
        <f ca="1">_xll.ESQuote("APLLTD.EQ-NSE","Description")</f>
        <v>#NAME?</v>
      </c>
      <c r="G82" s="2" t="e">
        <f ca="1">_xll.ESQuote("APLLTD.EQ-NSE","Exchange")</f>
        <v>#NAME?</v>
      </c>
      <c r="H82" s="2" t="e">
        <f ca="1">_xll.ESQuote("APLLTD.EQ-NSE","High")</f>
        <v>#NAME?</v>
      </c>
      <c r="I82" s="2" t="e">
        <f ca="1">_xll.ESQuote("APLLTD.EQ-NSE","Last")</f>
        <v>#NAME?</v>
      </c>
      <c r="J82" s="4" t="e">
        <f ca="1">_xll.ESQuote("APLLTD.EQ-NSE","Last_Time")</f>
        <v>#NAME?</v>
      </c>
      <c r="K82" s="2" t="e">
        <f ca="1">_xll.ESQuote("APLLTD.EQ-NSE","Low")</f>
        <v>#NAME?</v>
      </c>
      <c r="L82" s="2" t="e">
        <f ca="1">_xll.ESQuote("APLLTD.EQ-NSE","Open")</f>
        <v>#NAME?</v>
      </c>
      <c r="M82" s="2" t="e">
        <f ca="1">_xll.ESQuote("APLLTD.EQ-NSE","PrevPrice")</f>
        <v>#NAME?</v>
      </c>
      <c r="N82" s="2" t="e">
        <f ca="1">_xll.ESQuote("APLLTD.EQ-NSE","Symbol")</f>
        <v>#NAME?</v>
      </c>
      <c r="O82" s="2" t="e">
        <f ca="1">_xll.ESQuote("APLLTD.EQ-NSE","Volume")</f>
        <v>#NAME?</v>
      </c>
    </row>
    <row r="83" spans="1:15" x14ac:dyDescent="0.25">
      <c r="A83" s="1" t="s">
        <v>95</v>
      </c>
      <c r="B83" s="2" t="e">
        <f ca="1">_xll.ESQuote("APOLLOHOSP.EQ-NSE","% Change")</f>
        <v>#NAME?</v>
      </c>
      <c r="C83" s="2" t="e">
        <f ca="1">_xll.ESQuote("APOLLOHOSP.EQ-NSE","Change")</f>
        <v>#NAME?</v>
      </c>
      <c r="D83" s="2" t="e">
        <f ca="1">_xll.ESQuote("APOLLOHOSP.EQ-NSE","Close")</f>
        <v>#NAME?</v>
      </c>
      <c r="E83" s="2" t="e">
        <f ca="1">_xll.ESQuote("APOLLOHOSP.EQ-NSE","Company")</f>
        <v>#NAME?</v>
      </c>
      <c r="F83" s="2" t="e">
        <f ca="1">_xll.ESQuote("APOLLOHOSP.EQ-NSE","Description")</f>
        <v>#NAME?</v>
      </c>
      <c r="G83" s="2" t="e">
        <f ca="1">_xll.ESQuote("APOLLOHOSP.EQ-NSE","Exchange")</f>
        <v>#NAME?</v>
      </c>
      <c r="H83" s="2" t="e">
        <f ca="1">_xll.ESQuote("APOLLOHOSP.EQ-NSE","High")</f>
        <v>#NAME?</v>
      </c>
      <c r="I83" s="2" t="e">
        <f ca="1">_xll.ESQuote("APOLLOHOSP.EQ-NSE","Last")</f>
        <v>#NAME?</v>
      </c>
      <c r="J83" s="4" t="e">
        <f ca="1">_xll.ESQuote("APOLLOHOSP.EQ-NSE","Last_Time")</f>
        <v>#NAME?</v>
      </c>
      <c r="K83" s="2" t="e">
        <f ca="1">_xll.ESQuote("APOLLOHOSP.EQ-NSE","Low")</f>
        <v>#NAME?</v>
      </c>
      <c r="L83" s="2" t="e">
        <f ca="1">_xll.ESQuote("APOLLOHOSP.EQ-NSE","Open")</f>
        <v>#NAME?</v>
      </c>
      <c r="M83" s="2" t="e">
        <f ca="1">_xll.ESQuote("APOLLOHOSP.EQ-NSE","PrevPrice")</f>
        <v>#NAME?</v>
      </c>
      <c r="N83" s="2" t="e">
        <f ca="1">_xll.ESQuote("APOLLOHOSP.EQ-NSE","Symbol")</f>
        <v>#NAME?</v>
      </c>
      <c r="O83" s="2" t="e">
        <f ca="1">_xll.ESQuote("APOLLOHOSP.EQ-NSE","Volume")</f>
        <v>#NAME?</v>
      </c>
    </row>
    <row r="84" spans="1:15" x14ac:dyDescent="0.25">
      <c r="A84" s="1" t="s">
        <v>96</v>
      </c>
      <c r="B84" s="2" t="e">
        <f ca="1">_xll.ESQuote("APOLLOTYRE.EQ-NSE","% Change")</f>
        <v>#NAME?</v>
      </c>
      <c r="C84" s="2" t="e">
        <f ca="1">_xll.ESQuote("APOLLOTYRE.EQ-NSE","Change")</f>
        <v>#NAME?</v>
      </c>
      <c r="D84" s="2" t="e">
        <f ca="1">_xll.ESQuote("APOLLOTYRE.EQ-NSE","Close")</f>
        <v>#NAME?</v>
      </c>
      <c r="E84" s="2" t="e">
        <f ca="1">_xll.ESQuote("APOLLOTYRE.EQ-NSE","Company")</f>
        <v>#NAME?</v>
      </c>
      <c r="F84" s="2" t="e">
        <f ca="1">_xll.ESQuote("APOLLOTYRE.EQ-NSE","Description")</f>
        <v>#NAME?</v>
      </c>
      <c r="G84" s="2" t="e">
        <f ca="1">_xll.ESQuote("APOLLOTYRE.EQ-NSE","Exchange")</f>
        <v>#NAME?</v>
      </c>
      <c r="H84" s="2" t="e">
        <f ca="1">_xll.ESQuote("APOLLOTYRE.EQ-NSE","High")</f>
        <v>#NAME?</v>
      </c>
      <c r="I84" s="2" t="e">
        <f ca="1">_xll.ESQuote("APOLLOTYRE.EQ-NSE","Last")</f>
        <v>#NAME?</v>
      </c>
      <c r="J84" s="4" t="e">
        <f ca="1">_xll.ESQuote("APOLLOTYRE.EQ-NSE","Last_Time")</f>
        <v>#NAME?</v>
      </c>
      <c r="K84" s="2" t="e">
        <f ca="1">_xll.ESQuote("APOLLOTYRE.EQ-NSE","Low")</f>
        <v>#NAME?</v>
      </c>
      <c r="L84" s="2" t="e">
        <f ca="1">_xll.ESQuote("APOLLOTYRE.EQ-NSE","Open")</f>
        <v>#NAME?</v>
      </c>
      <c r="M84" s="2" t="e">
        <f ca="1">_xll.ESQuote("APOLLOTYRE.EQ-NSE","PrevPrice")</f>
        <v>#NAME?</v>
      </c>
      <c r="N84" s="2" t="e">
        <f ca="1">_xll.ESQuote("APOLLOTYRE.EQ-NSE","Symbol")</f>
        <v>#NAME?</v>
      </c>
      <c r="O84" s="2" t="e">
        <f ca="1">_xll.ESQuote("APOLLOTYRE.EQ-NSE","Volume")</f>
        <v>#NAME?</v>
      </c>
    </row>
    <row r="85" spans="1:15" x14ac:dyDescent="0.25">
      <c r="A85" s="1" t="s">
        <v>97</v>
      </c>
      <c r="B85" s="2" t="e">
        <f ca="1">_xll.ESQuote("APOLSINHOT.EQ-NSE","% Change")</f>
        <v>#NAME?</v>
      </c>
      <c r="C85" s="2" t="e">
        <f ca="1">_xll.ESQuote("APOLSINHOT.EQ-NSE","Change")</f>
        <v>#NAME?</v>
      </c>
      <c r="D85" s="2" t="e">
        <f ca="1">_xll.ESQuote("APOLSINHOT.EQ-NSE","Close")</f>
        <v>#NAME?</v>
      </c>
      <c r="E85" s="2" t="e">
        <f ca="1">_xll.ESQuote("APOLSINHOT.EQ-NSE","Company")</f>
        <v>#NAME?</v>
      </c>
      <c r="F85" s="2" t="e">
        <f ca="1">_xll.ESQuote("APOLSINHOT.EQ-NSE","Description")</f>
        <v>#NAME?</v>
      </c>
      <c r="G85" s="2" t="e">
        <f ca="1">_xll.ESQuote("APOLSINHOT.EQ-NSE","Exchange")</f>
        <v>#NAME?</v>
      </c>
      <c r="H85" s="2" t="e">
        <f ca="1">_xll.ESQuote("APOLSINHOT.EQ-NSE","High")</f>
        <v>#NAME?</v>
      </c>
      <c r="I85" s="2" t="e">
        <f ca="1">_xll.ESQuote("APOLSINHOT.EQ-NSE","Last")</f>
        <v>#NAME?</v>
      </c>
      <c r="J85" s="4" t="e">
        <f ca="1">_xll.ESQuote("APOLSINHOT.EQ-NSE","Last_Time")</f>
        <v>#NAME?</v>
      </c>
      <c r="K85" s="2" t="e">
        <f ca="1">_xll.ESQuote("APOLSINHOT.EQ-NSE","Low")</f>
        <v>#NAME?</v>
      </c>
      <c r="L85" s="2" t="e">
        <f ca="1">_xll.ESQuote("APOLSINHOT.EQ-NSE","Open")</f>
        <v>#NAME?</v>
      </c>
      <c r="M85" s="2" t="e">
        <f ca="1">_xll.ESQuote("APOLSINHOT.EQ-NSE","PrevPrice")</f>
        <v>#NAME?</v>
      </c>
      <c r="N85" s="2" t="e">
        <f ca="1">_xll.ESQuote("APOLSINHOT.EQ-NSE","Symbol")</f>
        <v>#NAME?</v>
      </c>
      <c r="O85" s="2" t="e">
        <f ca="1">_xll.ESQuote("APOLSINHOT.EQ-NSE","Volume")</f>
        <v>#NAME?</v>
      </c>
    </row>
    <row r="86" spans="1:15" x14ac:dyDescent="0.25">
      <c r="A86" s="1" t="s">
        <v>98</v>
      </c>
      <c r="B86" s="2" t="e">
        <f ca="1">_xll.ESQuote("APTECHT.EQ-NSE","% Change")</f>
        <v>#NAME?</v>
      </c>
      <c r="C86" s="2" t="e">
        <f ca="1">_xll.ESQuote("APTECHT.EQ-NSE","Change")</f>
        <v>#NAME?</v>
      </c>
      <c r="D86" s="2" t="e">
        <f ca="1">_xll.ESQuote("APTECHT.EQ-NSE","Close")</f>
        <v>#NAME?</v>
      </c>
      <c r="E86" s="2" t="e">
        <f ca="1">_xll.ESQuote("APTECHT.EQ-NSE","Company")</f>
        <v>#NAME?</v>
      </c>
      <c r="F86" s="2" t="e">
        <f ca="1">_xll.ESQuote("APTECHT.EQ-NSE","Description")</f>
        <v>#NAME?</v>
      </c>
      <c r="G86" s="2" t="e">
        <f ca="1">_xll.ESQuote("APTECHT.EQ-NSE","Exchange")</f>
        <v>#NAME?</v>
      </c>
      <c r="H86" s="2" t="e">
        <f ca="1">_xll.ESQuote("APTECHT.EQ-NSE","High")</f>
        <v>#NAME?</v>
      </c>
      <c r="I86" s="2" t="e">
        <f ca="1">_xll.ESQuote("APTECHT.EQ-NSE","Last")</f>
        <v>#NAME?</v>
      </c>
      <c r="J86" s="4" t="e">
        <f ca="1">_xll.ESQuote("APTECHT.EQ-NSE","Last_Time")</f>
        <v>#NAME?</v>
      </c>
      <c r="K86" s="2" t="e">
        <f ca="1">_xll.ESQuote("APTECHT.EQ-NSE","Low")</f>
        <v>#NAME?</v>
      </c>
      <c r="L86" s="2" t="e">
        <f ca="1">_xll.ESQuote("APTECHT.EQ-NSE","Open")</f>
        <v>#NAME?</v>
      </c>
      <c r="M86" s="2" t="e">
        <f ca="1">_xll.ESQuote("APTECHT.EQ-NSE","PrevPrice")</f>
        <v>#NAME?</v>
      </c>
      <c r="N86" s="2" t="e">
        <f ca="1">_xll.ESQuote("APTECHT.EQ-NSE","Symbol")</f>
        <v>#NAME?</v>
      </c>
      <c r="O86" s="2" t="e">
        <f ca="1">_xll.ESQuote("APTECHT.EQ-NSE","Volume")</f>
        <v>#NAME?</v>
      </c>
    </row>
    <row r="87" spans="1:15" x14ac:dyDescent="0.25">
      <c r="A87" s="1" t="s">
        <v>99</v>
      </c>
      <c r="B87" s="2" t="e">
        <f ca="1">_xll.ESQuote("ARCHIDPLY.EQ-NSE","% Change")</f>
        <v>#NAME?</v>
      </c>
      <c r="C87" s="2" t="e">
        <f ca="1">_xll.ESQuote("ARCHIDPLY.EQ-NSE","Change")</f>
        <v>#NAME?</v>
      </c>
      <c r="D87" s="2" t="e">
        <f ca="1">_xll.ESQuote("ARCHIDPLY.EQ-NSE","Close")</f>
        <v>#NAME?</v>
      </c>
      <c r="E87" s="2" t="e">
        <f ca="1">_xll.ESQuote("ARCHIDPLY.EQ-NSE","Company")</f>
        <v>#NAME?</v>
      </c>
      <c r="F87" s="2" t="e">
        <f ca="1">_xll.ESQuote("ARCHIDPLY.EQ-NSE","Description")</f>
        <v>#NAME?</v>
      </c>
      <c r="G87" s="2" t="e">
        <f ca="1">_xll.ESQuote("ARCHIDPLY.EQ-NSE","Exchange")</f>
        <v>#NAME?</v>
      </c>
      <c r="H87" s="2" t="e">
        <f ca="1">_xll.ESQuote("ARCHIDPLY.EQ-NSE","High")</f>
        <v>#NAME?</v>
      </c>
      <c r="I87" s="2" t="e">
        <f ca="1">_xll.ESQuote("ARCHIDPLY.EQ-NSE","Last")</f>
        <v>#NAME?</v>
      </c>
      <c r="J87" s="4" t="e">
        <f ca="1">_xll.ESQuote("ARCHIDPLY.EQ-NSE","Last_Time")</f>
        <v>#NAME?</v>
      </c>
      <c r="K87" s="2" t="e">
        <f ca="1">_xll.ESQuote("ARCHIDPLY.EQ-NSE","Low")</f>
        <v>#NAME?</v>
      </c>
      <c r="L87" s="2" t="e">
        <f ca="1">_xll.ESQuote("ARCHIDPLY.EQ-NSE","Open")</f>
        <v>#NAME?</v>
      </c>
      <c r="M87" s="2" t="e">
        <f ca="1">_xll.ESQuote("ARCHIDPLY.EQ-NSE","PrevPrice")</f>
        <v>#NAME?</v>
      </c>
      <c r="N87" s="2" t="e">
        <f ca="1">_xll.ESQuote("ARCHIDPLY.EQ-NSE","Symbol")</f>
        <v>#NAME?</v>
      </c>
      <c r="O87" s="2" t="e">
        <f ca="1">_xll.ESQuote("ARCHIDPLY.EQ-NSE","Volume")</f>
        <v>#NAME?</v>
      </c>
    </row>
    <row r="88" spans="1:15" x14ac:dyDescent="0.25">
      <c r="A88" s="1" t="s">
        <v>100</v>
      </c>
      <c r="B88" s="2" t="e">
        <f ca="1">_xll.ESQuote("ARCHIES.EQ-NSE","% Change")</f>
        <v>#NAME?</v>
      </c>
      <c r="C88" s="2" t="e">
        <f ca="1">_xll.ESQuote("ARCHIES.EQ-NSE","Change")</f>
        <v>#NAME?</v>
      </c>
      <c r="D88" s="2" t="e">
        <f ca="1">_xll.ESQuote("ARCHIES.EQ-NSE","Close")</f>
        <v>#NAME?</v>
      </c>
      <c r="E88" s="2" t="e">
        <f ca="1">_xll.ESQuote("ARCHIES.EQ-NSE","Company")</f>
        <v>#NAME?</v>
      </c>
      <c r="F88" s="2" t="e">
        <f ca="1">_xll.ESQuote("ARCHIES.EQ-NSE","Description")</f>
        <v>#NAME?</v>
      </c>
      <c r="G88" s="2" t="e">
        <f ca="1">_xll.ESQuote("ARCHIES.EQ-NSE","Exchange")</f>
        <v>#NAME?</v>
      </c>
      <c r="H88" s="2" t="e">
        <f ca="1">_xll.ESQuote("ARCHIES.EQ-NSE","High")</f>
        <v>#NAME?</v>
      </c>
      <c r="I88" s="2" t="e">
        <f ca="1">_xll.ESQuote("ARCHIES.EQ-NSE","Last")</f>
        <v>#NAME?</v>
      </c>
      <c r="J88" s="4" t="e">
        <f ca="1">_xll.ESQuote("ARCHIES.EQ-NSE","Last_Time")</f>
        <v>#NAME?</v>
      </c>
      <c r="K88" s="2" t="e">
        <f ca="1">_xll.ESQuote("ARCHIES.EQ-NSE","Low")</f>
        <v>#NAME?</v>
      </c>
      <c r="L88" s="2" t="e">
        <f ca="1">_xll.ESQuote("ARCHIES.EQ-NSE","Open")</f>
        <v>#NAME?</v>
      </c>
      <c r="M88" s="2" t="e">
        <f ca="1">_xll.ESQuote("ARCHIES.EQ-NSE","PrevPrice")</f>
        <v>#NAME?</v>
      </c>
      <c r="N88" s="2" t="e">
        <f ca="1">_xll.ESQuote("ARCHIES.EQ-NSE","Symbol")</f>
        <v>#NAME?</v>
      </c>
      <c r="O88" s="2" t="e">
        <f ca="1">_xll.ESQuote("ARCHIES.EQ-NSE","Volume")</f>
        <v>#NAME?</v>
      </c>
    </row>
    <row r="89" spans="1:15" x14ac:dyDescent="0.25">
      <c r="A89" s="1" t="s">
        <v>101</v>
      </c>
      <c r="B89" s="2" t="e">
        <f ca="1">_xll.ESQuote("ARCOTECH.EQ-NSE","% Change")</f>
        <v>#NAME?</v>
      </c>
      <c r="C89" s="2" t="e">
        <f ca="1">_xll.ESQuote("ARCOTECH.EQ-NSE","Change")</f>
        <v>#NAME?</v>
      </c>
      <c r="D89" s="2" t="e">
        <f ca="1">_xll.ESQuote("ARCOTECH.EQ-NSE","Close")</f>
        <v>#NAME?</v>
      </c>
      <c r="E89" s="2" t="e">
        <f ca="1">_xll.ESQuote("ARCOTECH.EQ-NSE","Company")</f>
        <v>#NAME?</v>
      </c>
      <c r="F89" s="2" t="e">
        <f ca="1">_xll.ESQuote("ARCOTECH.EQ-NSE","Description")</f>
        <v>#NAME?</v>
      </c>
      <c r="G89" s="2" t="e">
        <f ca="1">_xll.ESQuote("ARCOTECH.EQ-NSE","Exchange")</f>
        <v>#NAME?</v>
      </c>
      <c r="H89" s="2" t="e">
        <f ca="1">_xll.ESQuote("ARCOTECH.EQ-NSE","High")</f>
        <v>#NAME?</v>
      </c>
      <c r="I89" s="2" t="e">
        <f ca="1">_xll.ESQuote("ARCOTECH.EQ-NSE","Last")</f>
        <v>#NAME?</v>
      </c>
      <c r="J89" s="4" t="e">
        <f ca="1">_xll.ESQuote("ARCOTECH.EQ-NSE","Last_Time")</f>
        <v>#NAME?</v>
      </c>
      <c r="K89" s="2" t="e">
        <f ca="1">_xll.ESQuote("ARCOTECH.EQ-NSE","Low")</f>
        <v>#NAME?</v>
      </c>
      <c r="L89" s="2" t="e">
        <f ca="1">_xll.ESQuote("ARCOTECH.EQ-NSE","Open")</f>
        <v>#NAME?</v>
      </c>
      <c r="M89" s="2" t="e">
        <f ca="1">_xll.ESQuote("ARCOTECH.EQ-NSE","PrevPrice")</f>
        <v>#NAME?</v>
      </c>
      <c r="N89" s="2" t="e">
        <f ca="1">_xll.ESQuote("ARCOTECH.EQ-NSE","Symbol")</f>
        <v>#NAME?</v>
      </c>
      <c r="O89" s="2" t="e">
        <f ca="1">_xll.ESQuote("ARCOTECH.EQ-NSE","Volume")</f>
        <v>#NAME?</v>
      </c>
    </row>
    <row r="90" spans="1:15" x14ac:dyDescent="0.25">
      <c r="A90" s="1" t="s">
        <v>102</v>
      </c>
      <c r="B90" s="2" t="e">
        <f ca="1">_xll.ESQuote("ARIES.EQ-NSE","% Change")</f>
        <v>#NAME?</v>
      </c>
      <c r="C90" s="2" t="e">
        <f ca="1">_xll.ESQuote("ARIES.EQ-NSE","Change")</f>
        <v>#NAME?</v>
      </c>
      <c r="D90" s="2" t="e">
        <f ca="1">_xll.ESQuote("ARIES.EQ-NSE","Close")</f>
        <v>#NAME?</v>
      </c>
      <c r="E90" s="2" t="e">
        <f ca="1">_xll.ESQuote("ARIES.EQ-NSE","Company")</f>
        <v>#NAME?</v>
      </c>
      <c r="F90" s="2" t="e">
        <f ca="1">_xll.ESQuote("ARIES.EQ-NSE","Description")</f>
        <v>#NAME?</v>
      </c>
      <c r="G90" s="2" t="e">
        <f ca="1">_xll.ESQuote("ARIES.EQ-NSE","Exchange")</f>
        <v>#NAME?</v>
      </c>
      <c r="H90" s="2" t="e">
        <f ca="1">_xll.ESQuote("ARIES.EQ-NSE","High")</f>
        <v>#NAME?</v>
      </c>
      <c r="I90" s="2" t="e">
        <f ca="1">_xll.ESQuote("ARIES.EQ-NSE","Last")</f>
        <v>#NAME?</v>
      </c>
      <c r="J90" s="4" t="e">
        <f ca="1">_xll.ESQuote("ARIES.EQ-NSE","Last_Time")</f>
        <v>#NAME?</v>
      </c>
      <c r="K90" s="2" t="e">
        <f ca="1">_xll.ESQuote("ARIES.EQ-NSE","Low")</f>
        <v>#NAME?</v>
      </c>
      <c r="L90" s="2" t="e">
        <f ca="1">_xll.ESQuote("ARIES.EQ-NSE","Open")</f>
        <v>#NAME?</v>
      </c>
      <c r="M90" s="2" t="e">
        <f ca="1">_xll.ESQuote("ARIES.EQ-NSE","PrevPrice")</f>
        <v>#NAME?</v>
      </c>
      <c r="N90" s="2" t="e">
        <f ca="1">_xll.ESQuote("ARIES.EQ-NSE","Symbol")</f>
        <v>#NAME?</v>
      </c>
      <c r="O90" s="2" t="e">
        <f ca="1">_xll.ESQuote("ARIES.EQ-NSE","Volume")</f>
        <v>#NAME?</v>
      </c>
    </row>
    <row r="91" spans="1:15" x14ac:dyDescent="0.25">
      <c r="A91" s="1" t="s">
        <v>103</v>
      </c>
      <c r="B91" s="2" t="e">
        <f ca="1">_xll.ESQuote("ARIHANT.EQ-NSE","% Change")</f>
        <v>#NAME?</v>
      </c>
      <c r="C91" s="2" t="e">
        <f ca="1">_xll.ESQuote("ARIHANT.EQ-NSE","Change")</f>
        <v>#NAME?</v>
      </c>
      <c r="D91" s="2" t="e">
        <f ca="1">_xll.ESQuote("ARIHANT.EQ-NSE","Close")</f>
        <v>#NAME?</v>
      </c>
      <c r="E91" s="2" t="e">
        <f ca="1">_xll.ESQuote("ARIHANT.EQ-NSE","Company")</f>
        <v>#NAME?</v>
      </c>
      <c r="F91" s="2" t="e">
        <f ca="1">_xll.ESQuote("ARIHANT.EQ-NSE","Description")</f>
        <v>#NAME?</v>
      </c>
      <c r="G91" s="2" t="e">
        <f ca="1">_xll.ESQuote("ARIHANT.EQ-NSE","Exchange")</f>
        <v>#NAME?</v>
      </c>
      <c r="H91" s="2" t="e">
        <f ca="1">_xll.ESQuote("ARIHANT.EQ-NSE","High")</f>
        <v>#NAME?</v>
      </c>
      <c r="I91" s="2" t="e">
        <f ca="1">_xll.ESQuote("ARIHANT.EQ-NSE","Last")</f>
        <v>#NAME?</v>
      </c>
      <c r="J91" s="4" t="e">
        <f ca="1">_xll.ESQuote("ARIHANT.EQ-NSE","Last_Time")</f>
        <v>#NAME?</v>
      </c>
      <c r="K91" s="2" t="e">
        <f ca="1">_xll.ESQuote("ARIHANT.EQ-NSE","Low")</f>
        <v>#NAME?</v>
      </c>
      <c r="L91" s="2" t="e">
        <f ca="1">_xll.ESQuote("ARIHANT.EQ-NSE","Open")</f>
        <v>#NAME?</v>
      </c>
      <c r="M91" s="2" t="e">
        <f ca="1">_xll.ESQuote("ARIHANT.EQ-NSE","PrevPrice")</f>
        <v>#NAME?</v>
      </c>
      <c r="N91" s="2" t="e">
        <f ca="1">_xll.ESQuote("ARIHANT.EQ-NSE","Symbol")</f>
        <v>#NAME?</v>
      </c>
      <c r="O91" s="2" t="e">
        <f ca="1">_xll.ESQuote("ARIHANT.EQ-NSE","Volume")</f>
        <v>#NAME?</v>
      </c>
    </row>
    <row r="92" spans="1:15" x14ac:dyDescent="0.25">
      <c r="A92" s="1" t="s">
        <v>104</v>
      </c>
      <c r="B92" s="2" t="e">
        <f ca="1">_xll.ESQuote("AROGRANITE.EQ-NSE","% Change")</f>
        <v>#NAME?</v>
      </c>
      <c r="C92" s="2" t="e">
        <f ca="1">_xll.ESQuote("AROGRANITE.EQ-NSE","Change")</f>
        <v>#NAME?</v>
      </c>
      <c r="D92" s="2" t="e">
        <f ca="1">_xll.ESQuote("AROGRANITE.EQ-NSE","Close")</f>
        <v>#NAME?</v>
      </c>
      <c r="E92" s="2" t="e">
        <f ca="1">_xll.ESQuote("AROGRANITE.EQ-NSE","Company")</f>
        <v>#NAME?</v>
      </c>
      <c r="F92" s="2" t="e">
        <f ca="1">_xll.ESQuote("AROGRANITE.EQ-NSE","Description")</f>
        <v>#NAME?</v>
      </c>
      <c r="G92" s="2" t="e">
        <f ca="1">_xll.ESQuote("AROGRANITE.EQ-NSE","Exchange")</f>
        <v>#NAME?</v>
      </c>
      <c r="H92" s="2" t="e">
        <f ca="1">_xll.ESQuote("AROGRANITE.EQ-NSE","High")</f>
        <v>#NAME?</v>
      </c>
      <c r="I92" s="2" t="e">
        <f ca="1">_xll.ESQuote("AROGRANITE.EQ-NSE","Last")</f>
        <v>#NAME?</v>
      </c>
      <c r="J92" s="4" t="e">
        <f ca="1">_xll.ESQuote("AROGRANITE.EQ-NSE","Last_Time")</f>
        <v>#NAME?</v>
      </c>
      <c r="K92" s="2" t="e">
        <f ca="1">_xll.ESQuote("AROGRANITE.EQ-NSE","Low")</f>
        <v>#NAME?</v>
      </c>
      <c r="L92" s="2" t="e">
        <f ca="1">_xll.ESQuote("AROGRANITE.EQ-NSE","Open")</f>
        <v>#NAME?</v>
      </c>
      <c r="M92" s="2" t="e">
        <f ca="1">_xll.ESQuote("AROGRANITE.EQ-NSE","PrevPrice")</f>
        <v>#NAME?</v>
      </c>
      <c r="N92" s="2" t="e">
        <f ca="1">_xll.ESQuote("AROGRANITE.EQ-NSE","Symbol")</f>
        <v>#NAME?</v>
      </c>
      <c r="O92" s="2" t="e">
        <f ca="1">_xll.ESQuote("AROGRANITE.EQ-NSE","Volume")</f>
        <v>#NAME?</v>
      </c>
    </row>
    <row r="93" spans="1:15" x14ac:dyDescent="0.25">
      <c r="A93" s="1" t="s">
        <v>105</v>
      </c>
      <c r="B93" s="2" t="e">
        <f ca="1">_xll.ESQuote("ARROWCOAT.EQ-NSE","% Change")</f>
        <v>#NAME?</v>
      </c>
      <c r="C93" s="2" t="e">
        <f ca="1">_xll.ESQuote("ARROWCOAT.EQ-NSE","Change")</f>
        <v>#NAME?</v>
      </c>
      <c r="D93" s="2" t="e">
        <f ca="1">_xll.ESQuote("ARROWCOAT.EQ-NSE","Close")</f>
        <v>#NAME?</v>
      </c>
      <c r="E93" s="2" t="e">
        <f ca="1">_xll.ESQuote("ARROWCOAT.EQ-NSE","Company")</f>
        <v>#NAME?</v>
      </c>
      <c r="F93" s="2" t="e">
        <f ca="1">_xll.ESQuote("ARROWCOAT.EQ-NSE","Description")</f>
        <v>#NAME?</v>
      </c>
      <c r="G93" s="2" t="e">
        <f ca="1">_xll.ESQuote("ARROWCOAT.EQ-NSE","Exchange")</f>
        <v>#NAME?</v>
      </c>
      <c r="H93" s="2" t="e">
        <f ca="1">_xll.ESQuote("ARROWCOAT.EQ-NSE","High")</f>
        <v>#NAME?</v>
      </c>
      <c r="I93" s="2" t="e">
        <f ca="1">_xll.ESQuote("ARROWCOAT.EQ-NSE","Last")</f>
        <v>#NAME?</v>
      </c>
      <c r="J93" s="4" t="e">
        <f ca="1">_xll.ESQuote("ARROWCOAT.EQ-NSE","Last_Time")</f>
        <v>#NAME?</v>
      </c>
      <c r="K93" s="2" t="e">
        <f ca="1">_xll.ESQuote("ARROWCOAT.EQ-NSE","Low")</f>
        <v>#NAME?</v>
      </c>
      <c r="L93" s="2" t="e">
        <f ca="1">_xll.ESQuote("ARROWCOAT.EQ-NSE","Open")</f>
        <v>#NAME?</v>
      </c>
      <c r="M93" s="2" t="e">
        <f ca="1">_xll.ESQuote("ARROWCOAT.EQ-NSE","PrevPrice")</f>
        <v>#NAME?</v>
      </c>
      <c r="N93" s="2" t="e">
        <f ca="1">_xll.ESQuote("ARROWCOAT.EQ-NSE","Symbol")</f>
        <v>#NAME?</v>
      </c>
      <c r="O93" s="2" t="e">
        <f ca="1">_xll.ESQuote("ARROWCOAT.EQ-NSE","Volume")</f>
        <v>#NAME?</v>
      </c>
    </row>
    <row r="94" spans="1:15" x14ac:dyDescent="0.25">
      <c r="A94" s="1" t="s">
        <v>106</v>
      </c>
      <c r="B94" s="2" t="e">
        <f ca="1">_xll.ESQuote("ARROWTEX.EQ-NSE","% Change")</f>
        <v>#NAME?</v>
      </c>
      <c r="C94" s="2" t="e">
        <f ca="1">_xll.ESQuote("ARROWTEX.EQ-NSE","Change")</f>
        <v>#NAME?</v>
      </c>
      <c r="D94" s="2" t="e">
        <f ca="1">_xll.ESQuote("ARROWTEX.EQ-NSE","Close")</f>
        <v>#NAME?</v>
      </c>
      <c r="E94" s="2" t="e">
        <f ca="1">_xll.ESQuote("ARROWTEX.EQ-NSE","Company")</f>
        <v>#NAME?</v>
      </c>
      <c r="F94" s="2" t="e">
        <f ca="1">_xll.ESQuote("ARROWTEX.EQ-NSE","Description")</f>
        <v>#NAME?</v>
      </c>
      <c r="G94" s="2" t="e">
        <f ca="1">_xll.ESQuote("ARROWTEX.EQ-NSE","Exchange")</f>
        <v>#NAME?</v>
      </c>
      <c r="H94" s="2" t="e">
        <f ca="1">_xll.ESQuote("ARROWTEX.EQ-NSE","High")</f>
        <v>#NAME?</v>
      </c>
      <c r="I94" s="2" t="e">
        <f ca="1">_xll.ESQuote("ARROWTEX.EQ-NSE","Last")</f>
        <v>#NAME?</v>
      </c>
      <c r="J94" s="4" t="e">
        <f ca="1">_xll.ESQuote("ARROWTEX.EQ-NSE","Last_Time")</f>
        <v>#NAME?</v>
      </c>
      <c r="K94" s="2" t="e">
        <f ca="1">_xll.ESQuote("ARROWTEX.EQ-NSE","Low")</f>
        <v>#NAME?</v>
      </c>
      <c r="L94" s="2" t="e">
        <f ca="1">_xll.ESQuote("ARROWTEX.EQ-NSE","Open")</f>
        <v>#NAME?</v>
      </c>
      <c r="M94" s="2" t="e">
        <f ca="1">_xll.ESQuote("ARROWTEX.EQ-NSE","PrevPrice")</f>
        <v>#NAME?</v>
      </c>
      <c r="N94" s="2" t="e">
        <f ca="1">_xll.ESQuote("ARROWTEX.EQ-NSE","Symbol")</f>
        <v>#NAME?</v>
      </c>
      <c r="O94" s="2" t="e">
        <f ca="1">_xll.ESQuote("ARROWTEX.EQ-NSE","Volume")</f>
        <v>#NAME?</v>
      </c>
    </row>
    <row r="95" spans="1:15" x14ac:dyDescent="0.25">
      <c r="A95" s="1" t="s">
        <v>107</v>
      </c>
      <c r="B95" s="2" t="e">
        <f ca="1">_xll.ESQuote("ARSHIYA.EQ-NSE","% Change")</f>
        <v>#NAME?</v>
      </c>
      <c r="C95" s="2" t="e">
        <f ca="1">_xll.ESQuote("ARSHIYA.EQ-NSE","Change")</f>
        <v>#NAME?</v>
      </c>
      <c r="D95" s="2" t="e">
        <f ca="1">_xll.ESQuote("ARSHIYA.EQ-NSE","Close")</f>
        <v>#NAME?</v>
      </c>
      <c r="E95" s="2" t="e">
        <f ca="1">_xll.ESQuote("ARSHIYA.EQ-NSE","Company")</f>
        <v>#NAME?</v>
      </c>
      <c r="F95" s="2" t="e">
        <f ca="1">_xll.ESQuote("ARSHIYA.EQ-NSE","Description")</f>
        <v>#NAME?</v>
      </c>
      <c r="G95" s="2" t="e">
        <f ca="1">_xll.ESQuote("ARSHIYA.EQ-NSE","Exchange")</f>
        <v>#NAME?</v>
      </c>
      <c r="H95" s="2" t="e">
        <f ca="1">_xll.ESQuote("ARSHIYA.EQ-NSE","High")</f>
        <v>#NAME?</v>
      </c>
      <c r="I95" s="2" t="e">
        <f ca="1">_xll.ESQuote("ARSHIYA.EQ-NSE","Last")</f>
        <v>#NAME?</v>
      </c>
      <c r="J95" s="4" t="e">
        <f ca="1">_xll.ESQuote("ARSHIYA.EQ-NSE","Last_Time")</f>
        <v>#NAME?</v>
      </c>
      <c r="K95" s="2" t="e">
        <f ca="1">_xll.ESQuote("ARSHIYA.EQ-NSE","Low")</f>
        <v>#NAME?</v>
      </c>
      <c r="L95" s="2" t="e">
        <f ca="1">_xll.ESQuote("ARSHIYA.EQ-NSE","Open")</f>
        <v>#NAME?</v>
      </c>
      <c r="M95" s="2" t="e">
        <f ca="1">_xll.ESQuote("ARSHIYA.EQ-NSE","PrevPrice")</f>
        <v>#NAME?</v>
      </c>
      <c r="N95" s="2" t="e">
        <f ca="1">_xll.ESQuote("ARSHIYA.EQ-NSE","Symbol")</f>
        <v>#NAME?</v>
      </c>
      <c r="O95" s="2" t="e">
        <f ca="1">_xll.ESQuote("ARSHIYA.EQ-NSE","Volume")</f>
        <v>#NAME?</v>
      </c>
    </row>
    <row r="96" spans="1:15" x14ac:dyDescent="0.25">
      <c r="A96" s="1" t="s">
        <v>108</v>
      </c>
      <c r="B96" s="2" t="e">
        <f ca="1">_xll.ESQuote("ARSSINFRA.EQ-NSE","% Change")</f>
        <v>#NAME?</v>
      </c>
      <c r="C96" s="2" t="e">
        <f ca="1">_xll.ESQuote("ARSSINFRA.EQ-NSE","Change")</f>
        <v>#NAME?</v>
      </c>
      <c r="D96" s="2" t="e">
        <f ca="1">_xll.ESQuote("ARSSINFRA.EQ-NSE","Close")</f>
        <v>#NAME?</v>
      </c>
      <c r="E96" s="2" t="e">
        <f ca="1">_xll.ESQuote("ARSSINFRA.EQ-NSE","Company")</f>
        <v>#NAME?</v>
      </c>
      <c r="F96" s="2" t="e">
        <f ca="1">_xll.ESQuote("ARSSINFRA.EQ-NSE","Description")</f>
        <v>#NAME?</v>
      </c>
      <c r="G96" s="2" t="e">
        <f ca="1">_xll.ESQuote("ARSSINFRA.EQ-NSE","Exchange")</f>
        <v>#NAME?</v>
      </c>
      <c r="H96" s="2" t="e">
        <f ca="1">_xll.ESQuote("ARSSINFRA.EQ-NSE","High")</f>
        <v>#NAME?</v>
      </c>
      <c r="I96" s="2" t="e">
        <f ca="1">_xll.ESQuote("ARSSINFRA.EQ-NSE","Last")</f>
        <v>#NAME?</v>
      </c>
      <c r="J96" s="4" t="e">
        <f ca="1">_xll.ESQuote("ARSSINFRA.EQ-NSE","Last_Time")</f>
        <v>#NAME?</v>
      </c>
      <c r="K96" s="2" t="e">
        <f ca="1">_xll.ESQuote("ARSSINFRA.EQ-NSE","Low")</f>
        <v>#NAME?</v>
      </c>
      <c r="L96" s="2" t="e">
        <f ca="1">_xll.ESQuote("ARSSINFRA.EQ-NSE","Open")</f>
        <v>#NAME?</v>
      </c>
      <c r="M96" s="2" t="e">
        <f ca="1">_xll.ESQuote("ARSSINFRA.EQ-NSE","PrevPrice")</f>
        <v>#NAME?</v>
      </c>
      <c r="N96" s="2" t="e">
        <f ca="1">_xll.ESQuote("ARSSINFRA.EQ-NSE","Symbol")</f>
        <v>#NAME?</v>
      </c>
      <c r="O96" s="2" t="e">
        <f ca="1">_xll.ESQuote("ARSSINFRA.EQ-NSE","Volume")</f>
        <v>#NAME?</v>
      </c>
    </row>
    <row r="97" spans="1:15" x14ac:dyDescent="0.25">
      <c r="A97" s="1" t="s">
        <v>109</v>
      </c>
      <c r="B97" s="2" t="e">
        <f ca="1">_xll.ESQuote("ARVIND.EQ-NSE","% Change")</f>
        <v>#NAME?</v>
      </c>
      <c r="C97" s="2" t="e">
        <f ca="1">_xll.ESQuote("ARVIND.EQ-NSE","Change")</f>
        <v>#NAME?</v>
      </c>
      <c r="D97" s="2" t="e">
        <f ca="1">_xll.ESQuote("ARVIND.EQ-NSE","Close")</f>
        <v>#NAME?</v>
      </c>
      <c r="E97" s="2" t="e">
        <f ca="1">_xll.ESQuote("ARVIND.EQ-NSE","Company")</f>
        <v>#NAME?</v>
      </c>
      <c r="F97" s="2" t="e">
        <f ca="1">_xll.ESQuote("ARVIND.EQ-NSE","Description")</f>
        <v>#NAME?</v>
      </c>
      <c r="G97" s="2" t="e">
        <f ca="1">_xll.ESQuote("ARVIND.EQ-NSE","Exchange")</f>
        <v>#NAME?</v>
      </c>
      <c r="H97" s="2" t="e">
        <f ca="1">_xll.ESQuote("ARVIND.EQ-NSE","High")</f>
        <v>#NAME?</v>
      </c>
      <c r="I97" s="2" t="e">
        <f ca="1">_xll.ESQuote("ARVIND.EQ-NSE","Last")</f>
        <v>#NAME?</v>
      </c>
      <c r="J97" s="4" t="e">
        <f ca="1">_xll.ESQuote("ARVIND.EQ-NSE","Last_Time")</f>
        <v>#NAME?</v>
      </c>
      <c r="K97" s="2" t="e">
        <f ca="1">_xll.ESQuote("ARVIND.EQ-NSE","Low")</f>
        <v>#NAME?</v>
      </c>
      <c r="L97" s="2" t="e">
        <f ca="1">_xll.ESQuote("ARVIND.EQ-NSE","Open")</f>
        <v>#NAME?</v>
      </c>
      <c r="M97" s="2" t="e">
        <f ca="1">_xll.ESQuote("ARVIND.EQ-NSE","PrevPrice")</f>
        <v>#NAME?</v>
      </c>
      <c r="N97" s="2" t="e">
        <f ca="1">_xll.ESQuote("ARVIND.EQ-NSE","Symbol")</f>
        <v>#NAME?</v>
      </c>
      <c r="O97" s="2" t="e">
        <f ca="1">_xll.ESQuote("ARVIND.EQ-NSE","Volume")</f>
        <v>#NAME?</v>
      </c>
    </row>
    <row r="98" spans="1:15" x14ac:dyDescent="0.25">
      <c r="A98" s="1" t="s">
        <v>110</v>
      </c>
      <c r="B98" s="2" t="e">
        <f ca="1">_xll.ESQuote("ARVINDREM.EQ-NSE","% Change")</f>
        <v>#NAME?</v>
      </c>
      <c r="C98" s="2" t="e">
        <f ca="1">_xll.ESQuote("ARVINDREM.EQ-NSE","Change")</f>
        <v>#NAME?</v>
      </c>
      <c r="D98" s="2" t="e">
        <f ca="1">_xll.ESQuote("ARVINDREM.EQ-NSE","Close")</f>
        <v>#NAME?</v>
      </c>
      <c r="E98" s="2" t="e">
        <f ca="1">_xll.ESQuote("ARVINDREM.EQ-NSE","Company")</f>
        <v>#NAME?</v>
      </c>
      <c r="F98" s="2" t="e">
        <f ca="1">_xll.ESQuote("ARVINDREM.EQ-NSE","Description")</f>
        <v>#NAME?</v>
      </c>
      <c r="G98" s="2" t="e">
        <f ca="1">_xll.ESQuote("ARVINDREM.EQ-NSE","Exchange")</f>
        <v>#NAME?</v>
      </c>
      <c r="H98" s="2" t="e">
        <f ca="1">_xll.ESQuote("ARVINDREM.EQ-NSE","High")</f>
        <v>#NAME?</v>
      </c>
      <c r="I98" s="2" t="e">
        <f ca="1">_xll.ESQuote("ARVINDREM.EQ-NSE","Last")</f>
        <v>#NAME?</v>
      </c>
      <c r="J98" s="4" t="e">
        <f ca="1">_xll.ESQuote("ARVINDREM.EQ-NSE","Last_Time")</f>
        <v>#NAME?</v>
      </c>
      <c r="K98" s="2" t="e">
        <f ca="1">_xll.ESQuote("ARVINDREM.EQ-NSE","Low")</f>
        <v>#NAME?</v>
      </c>
      <c r="L98" s="2" t="e">
        <f ca="1">_xll.ESQuote("ARVINDREM.EQ-NSE","Open")</f>
        <v>#NAME?</v>
      </c>
      <c r="M98" s="2" t="e">
        <f ca="1">_xll.ESQuote("ARVINDREM.EQ-NSE","PrevPrice")</f>
        <v>#NAME?</v>
      </c>
      <c r="N98" s="2" t="e">
        <f ca="1">_xll.ESQuote("ARVINDREM.EQ-NSE","Symbol")</f>
        <v>#NAME?</v>
      </c>
      <c r="O98" s="2" t="e">
        <f ca="1">_xll.ESQuote("ARVINDREM.EQ-NSE","Volume")</f>
        <v>#NAME?</v>
      </c>
    </row>
    <row r="99" spans="1:15" x14ac:dyDescent="0.25">
      <c r="A99" s="1" t="s">
        <v>111</v>
      </c>
      <c r="B99" s="2" t="e">
        <f ca="1">_xll.ESQuote("ASAHIINDIA.EQ-NSE","% Change")</f>
        <v>#NAME?</v>
      </c>
      <c r="C99" s="2" t="e">
        <f ca="1">_xll.ESQuote("ASAHIINDIA.EQ-NSE","Change")</f>
        <v>#NAME?</v>
      </c>
      <c r="D99" s="2" t="e">
        <f ca="1">_xll.ESQuote("ASAHIINDIA.EQ-NSE","Close")</f>
        <v>#NAME?</v>
      </c>
      <c r="E99" s="2" t="e">
        <f ca="1">_xll.ESQuote("ASAHIINDIA.EQ-NSE","Company")</f>
        <v>#NAME?</v>
      </c>
      <c r="F99" s="2" t="e">
        <f ca="1">_xll.ESQuote("ASAHIINDIA.EQ-NSE","Description")</f>
        <v>#NAME?</v>
      </c>
      <c r="G99" s="2" t="e">
        <f ca="1">_xll.ESQuote("ASAHIINDIA.EQ-NSE","Exchange")</f>
        <v>#NAME?</v>
      </c>
      <c r="H99" s="2" t="e">
        <f ca="1">_xll.ESQuote("ASAHIINDIA.EQ-NSE","High")</f>
        <v>#NAME?</v>
      </c>
      <c r="I99" s="2" t="e">
        <f ca="1">_xll.ESQuote("ASAHIINDIA.EQ-NSE","Last")</f>
        <v>#NAME?</v>
      </c>
      <c r="J99" s="4" t="e">
        <f ca="1">_xll.ESQuote("ASAHIINDIA.EQ-NSE","Last_Time")</f>
        <v>#NAME?</v>
      </c>
      <c r="K99" s="2" t="e">
        <f ca="1">_xll.ESQuote("ASAHIINDIA.EQ-NSE","Low")</f>
        <v>#NAME?</v>
      </c>
      <c r="L99" s="2" t="e">
        <f ca="1">_xll.ESQuote("ASAHIINDIA.EQ-NSE","Open")</f>
        <v>#NAME?</v>
      </c>
      <c r="M99" s="2" t="e">
        <f ca="1">_xll.ESQuote("ASAHIINDIA.EQ-NSE","PrevPrice")</f>
        <v>#NAME?</v>
      </c>
      <c r="N99" s="2" t="e">
        <f ca="1">_xll.ESQuote("ASAHIINDIA.EQ-NSE","Symbol")</f>
        <v>#NAME?</v>
      </c>
      <c r="O99" s="2" t="e">
        <f ca="1">_xll.ESQuote("ASAHIINDIA.EQ-NSE","Volume")</f>
        <v>#NAME?</v>
      </c>
    </row>
    <row r="100" spans="1:15" x14ac:dyDescent="0.25">
      <c r="A100" s="1" t="s">
        <v>112</v>
      </c>
      <c r="B100" s="2" t="e">
        <f ca="1">_xll.ESQuote("ASAHISONG.EQ-NSE","% Change")</f>
        <v>#NAME?</v>
      </c>
      <c r="C100" s="2" t="e">
        <f ca="1">_xll.ESQuote("ASAHISONG.EQ-NSE","Change")</f>
        <v>#NAME?</v>
      </c>
      <c r="D100" s="2" t="e">
        <f ca="1">_xll.ESQuote("ASAHISONG.EQ-NSE","Close")</f>
        <v>#NAME?</v>
      </c>
      <c r="E100" s="2" t="e">
        <f ca="1">_xll.ESQuote("ASAHISONG.EQ-NSE","Company")</f>
        <v>#NAME?</v>
      </c>
      <c r="F100" s="2" t="e">
        <f ca="1">_xll.ESQuote("ASAHISONG.EQ-NSE","Description")</f>
        <v>#NAME?</v>
      </c>
      <c r="G100" s="2" t="e">
        <f ca="1">_xll.ESQuote("ASAHISONG.EQ-NSE","Exchange")</f>
        <v>#NAME?</v>
      </c>
      <c r="H100" s="2" t="e">
        <f ca="1">_xll.ESQuote("ASAHISONG.EQ-NSE","High")</f>
        <v>#NAME?</v>
      </c>
      <c r="I100" s="2" t="e">
        <f ca="1">_xll.ESQuote("ASAHISONG.EQ-NSE","Last")</f>
        <v>#NAME?</v>
      </c>
      <c r="J100" s="4" t="e">
        <f ca="1">_xll.ESQuote("ASAHISONG.EQ-NSE","Last_Time")</f>
        <v>#NAME?</v>
      </c>
      <c r="K100" s="2" t="e">
        <f ca="1">_xll.ESQuote("ASAHISONG.EQ-NSE","Low")</f>
        <v>#NAME?</v>
      </c>
      <c r="L100" s="2" t="e">
        <f ca="1">_xll.ESQuote("ASAHISONG.EQ-NSE","Open")</f>
        <v>#NAME?</v>
      </c>
      <c r="M100" s="2" t="e">
        <f ca="1">_xll.ESQuote("ASAHISONG.EQ-NSE","PrevPrice")</f>
        <v>#NAME?</v>
      </c>
      <c r="N100" s="2" t="e">
        <f ca="1">_xll.ESQuote("ASAHISONG.EQ-NSE","Symbol")</f>
        <v>#NAME?</v>
      </c>
      <c r="O100" s="2" t="e">
        <f ca="1">_xll.ESQuote("ASAHISONG.EQ-NSE","Volume")</f>
        <v>#NAME?</v>
      </c>
    </row>
    <row r="101" spans="1:15" x14ac:dyDescent="0.25">
      <c r="A101" s="1" t="s">
        <v>113</v>
      </c>
      <c r="B101" s="2" t="e">
        <f ca="1">_xll.ESQuote("ASAL.EQ-NSE","% Change")</f>
        <v>#NAME?</v>
      </c>
      <c r="C101" s="2" t="e">
        <f ca="1">_xll.ESQuote("ASAL.EQ-NSE","Change")</f>
        <v>#NAME?</v>
      </c>
      <c r="D101" s="2" t="e">
        <f ca="1">_xll.ESQuote("ASAL.EQ-NSE","Close")</f>
        <v>#NAME?</v>
      </c>
      <c r="E101" s="2" t="e">
        <f ca="1">_xll.ESQuote("ASAL.EQ-NSE","Company")</f>
        <v>#NAME?</v>
      </c>
      <c r="F101" s="2" t="e">
        <f ca="1">_xll.ESQuote("ASAL.EQ-NSE","Description")</f>
        <v>#NAME?</v>
      </c>
      <c r="G101" s="2" t="e">
        <f ca="1">_xll.ESQuote("ASAL.EQ-NSE","Exchange")</f>
        <v>#NAME?</v>
      </c>
      <c r="H101" s="2" t="e">
        <f ca="1">_xll.ESQuote("ASAL.EQ-NSE","High")</f>
        <v>#NAME?</v>
      </c>
      <c r="I101" s="2" t="e">
        <f ca="1">_xll.ESQuote("ASAL.EQ-NSE","Last")</f>
        <v>#NAME?</v>
      </c>
      <c r="J101" s="4" t="e">
        <f ca="1">_xll.ESQuote("ASAL.EQ-NSE","Last_Time")</f>
        <v>#NAME?</v>
      </c>
      <c r="K101" s="2" t="e">
        <f ca="1">_xll.ESQuote("ASAL.EQ-NSE","Low")</f>
        <v>#NAME?</v>
      </c>
      <c r="L101" s="2" t="e">
        <f ca="1">_xll.ESQuote("ASAL.EQ-NSE","Open")</f>
        <v>#NAME?</v>
      </c>
      <c r="M101" s="2" t="e">
        <f ca="1">_xll.ESQuote("ASAL.EQ-NSE","PrevPrice")</f>
        <v>#NAME?</v>
      </c>
      <c r="N101" s="2" t="e">
        <f ca="1">_xll.ESQuote("ASAL.EQ-NSE","Symbol")</f>
        <v>#NAME?</v>
      </c>
      <c r="O101" s="2" t="e">
        <f ca="1">_xll.ESQuote("ASAL.EQ-NSE","Volume")</f>
        <v>#NAME?</v>
      </c>
    </row>
    <row r="102" spans="1:15" x14ac:dyDescent="0.25">
      <c r="A102" s="1" t="s">
        <v>114</v>
      </c>
      <c r="B102" s="2" t="e">
        <f ca="1">_xll.ESQuote("ASHAPURMIN.EQ-NSE","% Change")</f>
        <v>#NAME?</v>
      </c>
      <c r="C102" s="2" t="e">
        <f ca="1">_xll.ESQuote("ASHAPURMIN.EQ-NSE","Change")</f>
        <v>#NAME?</v>
      </c>
      <c r="D102" s="2" t="e">
        <f ca="1">_xll.ESQuote("ASHAPURMIN.EQ-NSE","Close")</f>
        <v>#NAME?</v>
      </c>
      <c r="E102" s="2" t="e">
        <f ca="1">_xll.ESQuote("ASHAPURMIN.EQ-NSE","Company")</f>
        <v>#NAME?</v>
      </c>
      <c r="F102" s="2" t="e">
        <f ca="1">_xll.ESQuote("ASHAPURMIN.EQ-NSE","Description")</f>
        <v>#NAME?</v>
      </c>
      <c r="G102" s="2" t="e">
        <f ca="1">_xll.ESQuote("ASHAPURMIN.EQ-NSE","Exchange")</f>
        <v>#NAME?</v>
      </c>
      <c r="H102" s="2" t="e">
        <f ca="1">_xll.ESQuote("ASHAPURMIN.EQ-NSE","High")</f>
        <v>#NAME?</v>
      </c>
      <c r="I102" s="2" t="e">
        <f ca="1">_xll.ESQuote("ASHAPURMIN.EQ-NSE","Last")</f>
        <v>#NAME?</v>
      </c>
      <c r="J102" s="4" t="e">
        <f ca="1">_xll.ESQuote("ASHAPURMIN.EQ-NSE","Last_Time")</f>
        <v>#NAME?</v>
      </c>
      <c r="K102" s="2" t="e">
        <f ca="1">_xll.ESQuote("ASHAPURMIN.EQ-NSE","Low")</f>
        <v>#NAME?</v>
      </c>
      <c r="L102" s="2" t="e">
        <f ca="1">_xll.ESQuote("ASHAPURMIN.EQ-NSE","Open")</f>
        <v>#NAME?</v>
      </c>
      <c r="M102" s="2" t="e">
        <f ca="1">_xll.ESQuote("ASHAPURMIN.EQ-NSE","PrevPrice")</f>
        <v>#NAME?</v>
      </c>
      <c r="N102" s="2" t="e">
        <f ca="1">_xll.ESQuote("ASHAPURMIN.EQ-NSE","Symbol")</f>
        <v>#NAME?</v>
      </c>
      <c r="O102" s="2" t="e">
        <f ca="1">_xll.ESQuote("ASHAPURMIN.EQ-NSE","Volume")</f>
        <v>#NAME?</v>
      </c>
    </row>
    <row r="103" spans="1:15" x14ac:dyDescent="0.25">
      <c r="A103" s="1" t="s">
        <v>115</v>
      </c>
      <c r="B103" s="2" t="e">
        <f ca="1">_xll.ESQuote("ASHIANA.EQ-NSE","% Change")</f>
        <v>#NAME?</v>
      </c>
      <c r="C103" s="2" t="e">
        <f ca="1">_xll.ESQuote("ASHIANA.EQ-NSE","Change")</f>
        <v>#NAME?</v>
      </c>
      <c r="D103" s="2" t="e">
        <f ca="1">_xll.ESQuote("ASHIANA.EQ-NSE","Close")</f>
        <v>#NAME?</v>
      </c>
      <c r="E103" s="2" t="e">
        <f ca="1">_xll.ESQuote("ASHIANA.EQ-NSE","Company")</f>
        <v>#NAME?</v>
      </c>
      <c r="F103" s="2" t="e">
        <f ca="1">_xll.ESQuote("ASHIANA.EQ-NSE","Description")</f>
        <v>#NAME?</v>
      </c>
      <c r="G103" s="2" t="e">
        <f ca="1">_xll.ESQuote("ASHIANA.EQ-NSE","Exchange")</f>
        <v>#NAME?</v>
      </c>
      <c r="H103" s="2" t="e">
        <f ca="1">_xll.ESQuote("ASHIANA.EQ-NSE","High")</f>
        <v>#NAME?</v>
      </c>
      <c r="I103" s="2" t="e">
        <f ca="1">_xll.ESQuote("ASHIANA.EQ-NSE","Last")</f>
        <v>#NAME?</v>
      </c>
      <c r="J103" s="4" t="e">
        <f ca="1">_xll.ESQuote("ASHIANA.EQ-NSE","Last_Time")</f>
        <v>#NAME?</v>
      </c>
      <c r="K103" s="2" t="e">
        <f ca="1">_xll.ESQuote("ASHIANA.EQ-NSE","Low")</f>
        <v>#NAME?</v>
      </c>
      <c r="L103" s="2" t="e">
        <f ca="1">_xll.ESQuote("ASHIANA.EQ-NSE","Open")</f>
        <v>#NAME?</v>
      </c>
      <c r="M103" s="2" t="e">
        <f ca="1">_xll.ESQuote("ASHIANA.EQ-NSE","PrevPrice")</f>
        <v>#NAME?</v>
      </c>
      <c r="N103" s="2" t="e">
        <f ca="1">_xll.ESQuote("ASHIANA.EQ-NSE","Symbol")</f>
        <v>#NAME?</v>
      </c>
      <c r="O103" s="2" t="e">
        <f ca="1">_xll.ESQuote("ASHIANA.EQ-NSE","Volume")</f>
        <v>#NAME?</v>
      </c>
    </row>
    <row r="104" spans="1:15" x14ac:dyDescent="0.25">
      <c r="A104" s="1" t="s">
        <v>116</v>
      </c>
      <c r="B104" s="2" t="e">
        <f ca="1">_xll.ESQuote("ASHIMASYN.EQ-NSE","% Change")</f>
        <v>#NAME?</v>
      </c>
      <c r="C104" s="2" t="e">
        <f ca="1">_xll.ESQuote("ASHIMASYN.EQ-NSE","Change")</f>
        <v>#NAME?</v>
      </c>
      <c r="D104" s="2" t="e">
        <f ca="1">_xll.ESQuote("ASHIMASYN.EQ-NSE","Close")</f>
        <v>#NAME?</v>
      </c>
      <c r="E104" s="2" t="e">
        <f ca="1">_xll.ESQuote("ASHIMASYN.EQ-NSE","Company")</f>
        <v>#NAME?</v>
      </c>
      <c r="F104" s="2" t="e">
        <f ca="1">_xll.ESQuote("ASHIMASYN.EQ-NSE","Description")</f>
        <v>#NAME?</v>
      </c>
      <c r="G104" s="2" t="e">
        <f ca="1">_xll.ESQuote("ASHIMASYN.EQ-NSE","Exchange")</f>
        <v>#NAME?</v>
      </c>
      <c r="H104" s="2" t="e">
        <f ca="1">_xll.ESQuote("ASHIMASYN.EQ-NSE","High")</f>
        <v>#NAME?</v>
      </c>
      <c r="I104" s="2" t="e">
        <f ca="1">_xll.ESQuote("ASHIMASYN.EQ-NSE","Last")</f>
        <v>#NAME?</v>
      </c>
      <c r="J104" s="4" t="e">
        <f ca="1">_xll.ESQuote("ASHIMASYN.EQ-NSE","Last_Time")</f>
        <v>#NAME?</v>
      </c>
      <c r="K104" s="2" t="e">
        <f ca="1">_xll.ESQuote("ASHIMASYN.EQ-NSE","Low")</f>
        <v>#NAME?</v>
      </c>
      <c r="L104" s="2" t="e">
        <f ca="1">_xll.ESQuote("ASHIMASYN.EQ-NSE","Open")</f>
        <v>#NAME?</v>
      </c>
      <c r="M104" s="2" t="e">
        <f ca="1">_xll.ESQuote("ASHIMASYN.EQ-NSE","PrevPrice")</f>
        <v>#NAME?</v>
      </c>
      <c r="N104" s="2" t="e">
        <f ca="1">_xll.ESQuote("ASHIMASYN.EQ-NSE","Symbol")</f>
        <v>#NAME?</v>
      </c>
      <c r="O104" s="2" t="e">
        <f ca="1">_xll.ESQuote("ASHIMASYN.EQ-NSE","Volume")</f>
        <v>#NAME?</v>
      </c>
    </row>
    <row r="105" spans="1:15" x14ac:dyDescent="0.25">
      <c r="A105" s="1" t="s">
        <v>117</v>
      </c>
      <c r="B105" s="2" t="e">
        <f ca="1">_xll.ESQuote("ASHOKA.EQ-NSE","% Change")</f>
        <v>#NAME?</v>
      </c>
      <c r="C105" s="2" t="e">
        <f ca="1">_xll.ESQuote("ASHOKA.EQ-NSE","Change")</f>
        <v>#NAME?</v>
      </c>
      <c r="D105" s="2" t="e">
        <f ca="1">_xll.ESQuote("ASHOKA.EQ-NSE","Close")</f>
        <v>#NAME?</v>
      </c>
      <c r="E105" s="2" t="e">
        <f ca="1">_xll.ESQuote("ASHOKA.EQ-NSE","Company")</f>
        <v>#NAME?</v>
      </c>
      <c r="F105" s="2" t="e">
        <f ca="1">_xll.ESQuote("ASHOKA.EQ-NSE","Description")</f>
        <v>#NAME?</v>
      </c>
      <c r="G105" s="2" t="e">
        <f ca="1">_xll.ESQuote("ASHOKA.EQ-NSE","Exchange")</f>
        <v>#NAME?</v>
      </c>
      <c r="H105" s="2" t="e">
        <f ca="1">_xll.ESQuote("ASHOKA.EQ-NSE","High")</f>
        <v>#NAME?</v>
      </c>
      <c r="I105" s="2" t="e">
        <f ca="1">_xll.ESQuote("ASHOKA.EQ-NSE","Last")</f>
        <v>#NAME?</v>
      </c>
      <c r="J105" s="4" t="e">
        <f ca="1">_xll.ESQuote("ASHOKA.EQ-NSE","Last_Time")</f>
        <v>#NAME?</v>
      </c>
      <c r="K105" s="2" t="e">
        <f ca="1">_xll.ESQuote("ASHOKA.EQ-NSE","Low")</f>
        <v>#NAME?</v>
      </c>
      <c r="L105" s="2" t="e">
        <f ca="1">_xll.ESQuote("ASHOKA.EQ-NSE","Open")</f>
        <v>#NAME?</v>
      </c>
      <c r="M105" s="2" t="e">
        <f ca="1">_xll.ESQuote("ASHOKA.EQ-NSE","PrevPrice")</f>
        <v>#NAME?</v>
      </c>
      <c r="N105" s="2" t="e">
        <f ca="1">_xll.ESQuote("ASHOKA.EQ-NSE","Symbol")</f>
        <v>#NAME?</v>
      </c>
      <c r="O105" s="2" t="e">
        <f ca="1">_xll.ESQuote("ASHOKA.EQ-NSE","Volume")</f>
        <v>#NAME?</v>
      </c>
    </row>
    <row r="106" spans="1:15" x14ac:dyDescent="0.25">
      <c r="A106" s="1" t="s">
        <v>118</v>
      </c>
      <c r="B106" s="2" t="e">
        <f ca="1">_xll.ESQuote("ASHOKLEY.EQ-NSE","% Change")</f>
        <v>#NAME?</v>
      </c>
      <c r="C106" s="2" t="e">
        <f ca="1">_xll.ESQuote("ASHOKLEY.EQ-NSE","Change")</f>
        <v>#NAME?</v>
      </c>
      <c r="D106" s="2" t="e">
        <f ca="1">_xll.ESQuote("ASHOKLEY.EQ-NSE","Close")</f>
        <v>#NAME?</v>
      </c>
      <c r="E106" s="2" t="e">
        <f ca="1">_xll.ESQuote("ASHOKLEY.EQ-NSE","Company")</f>
        <v>#NAME?</v>
      </c>
      <c r="F106" s="2" t="e">
        <f ca="1">_xll.ESQuote("ASHOKLEY.EQ-NSE","Description")</f>
        <v>#NAME?</v>
      </c>
      <c r="G106" s="2" t="e">
        <f ca="1">_xll.ESQuote("ASHOKLEY.EQ-NSE","Exchange")</f>
        <v>#NAME?</v>
      </c>
      <c r="H106" s="2" t="e">
        <f ca="1">_xll.ESQuote("ASHOKLEY.EQ-NSE","High")</f>
        <v>#NAME?</v>
      </c>
      <c r="I106" s="2" t="e">
        <f ca="1">_xll.ESQuote("ASHOKLEY.EQ-NSE","Last")</f>
        <v>#NAME?</v>
      </c>
      <c r="J106" s="4" t="e">
        <f ca="1">_xll.ESQuote("ASHOKLEY.EQ-NSE","Last_Time")</f>
        <v>#NAME?</v>
      </c>
      <c r="K106" s="2" t="e">
        <f ca="1">_xll.ESQuote("ASHOKLEY.EQ-NSE","Low")</f>
        <v>#NAME?</v>
      </c>
      <c r="L106" s="2" t="e">
        <f ca="1">_xll.ESQuote("ASHOKLEY.EQ-NSE","Open")</f>
        <v>#NAME?</v>
      </c>
      <c r="M106" s="2" t="e">
        <f ca="1">_xll.ESQuote("ASHOKLEY.EQ-NSE","PrevPrice")</f>
        <v>#NAME?</v>
      </c>
      <c r="N106" s="2" t="e">
        <f ca="1">_xll.ESQuote("ASHOKLEY.EQ-NSE","Symbol")</f>
        <v>#NAME?</v>
      </c>
      <c r="O106" s="2" t="e">
        <f ca="1">_xll.ESQuote("ASHOKLEY.EQ-NSE","Volume")</f>
        <v>#NAME?</v>
      </c>
    </row>
    <row r="107" spans="1:15" x14ac:dyDescent="0.25">
      <c r="A107" s="1" t="s">
        <v>119</v>
      </c>
      <c r="B107" s="2" t="e">
        <f ca="1">_xll.ESQuote("ASIANHOTNR.EQ-NSE","% Change")</f>
        <v>#NAME?</v>
      </c>
      <c r="C107" s="2" t="e">
        <f ca="1">_xll.ESQuote("ASIANHOTNR.EQ-NSE","Change")</f>
        <v>#NAME?</v>
      </c>
      <c r="D107" s="2" t="e">
        <f ca="1">_xll.ESQuote("ASIANHOTNR.EQ-NSE","Close")</f>
        <v>#NAME?</v>
      </c>
      <c r="E107" s="2" t="e">
        <f ca="1">_xll.ESQuote("ASIANHOTNR.EQ-NSE","Company")</f>
        <v>#NAME?</v>
      </c>
      <c r="F107" s="2" t="e">
        <f ca="1">_xll.ESQuote("ASIANHOTNR.EQ-NSE","Description")</f>
        <v>#NAME?</v>
      </c>
      <c r="G107" s="2" t="e">
        <f ca="1">_xll.ESQuote("ASIANHOTNR.EQ-NSE","Exchange")</f>
        <v>#NAME?</v>
      </c>
      <c r="H107" s="2" t="e">
        <f ca="1">_xll.ESQuote("ASIANHOTNR.EQ-NSE","High")</f>
        <v>#NAME?</v>
      </c>
      <c r="I107" s="2" t="e">
        <f ca="1">_xll.ESQuote("ASIANHOTNR.EQ-NSE","Last")</f>
        <v>#NAME?</v>
      </c>
      <c r="J107" s="4" t="e">
        <f ca="1">_xll.ESQuote("ASIANHOTNR.EQ-NSE","Last_Time")</f>
        <v>#NAME?</v>
      </c>
      <c r="K107" s="2" t="e">
        <f ca="1">_xll.ESQuote("ASIANHOTNR.EQ-NSE","Low")</f>
        <v>#NAME?</v>
      </c>
      <c r="L107" s="2" t="e">
        <f ca="1">_xll.ESQuote("ASIANHOTNR.EQ-NSE","Open")</f>
        <v>#NAME?</v>
      </c>
      <c r="M107" s="2" t="e">
        <f ca="1">_xll.ESQuote("ASIANHOTNR.EQ-NSE","PrevPrice")</f>
        <v>#NAME?</v>
      </c>
      <c r="N107" s="2" t="e">
        <f ca="1">_xll.ESQuote("ASIANHOTNR.EQ-NSE","Symbol")</f>
        <v>#NAME?</v>
      </c>
      <c r="O107" s="2" t="e">
        <f ca="1">_xll.ESQuote("ASIANHOTNR.EQ-NSE","Volume")</f>
        <v>#NAME?</v>
      </c>
    </row>
    <row r="108" spans="1:15" x14ac:dyDescent="0.25">
      <c r="A108" s="1" t="s">
        <v>120</v>
      </c>
      <c r="B108" s="2" t="e">
        <f ca="1">_xll.ESQuote("ASIANPAINT.EQ-NSE","% Change")</f>
        <v>#NAME?</v>
      </c>
      <c r="C108" s="2" t="e">
        <f ca="1">_xll.ESQuote("ASIANPAINT.EQ-NSE","Change")</f>
        <v>#NAME?</v>
      </c>
      <c r="D108" s="2" t="e">
        <f ca="1">_xll.ESQuote("ASIANPAINT.EQ-NSE","Close")</f>
        <v>#NAME?</v>
      </c>
      <c r="E108" s="2" t="e">
        <f ca="1">_xll.ESQuote("ASIANPAINT.EQ-NSE","Company")</f>
        <v>#NAME?</v>
      </c>
      <c r="F108" s="2" t="e">
        <f ca="1">_xll.ESQuote("ASIANPAINT.EQ-NSE","Description")</f>
        <v>#NAME?</v>
      </c>
      <c r="G108" s="2" t="e">
        <f ca="1">_xll.ESQuote("ASIANPAINT.EQ-NSE","Exchange")</f>
        <v>#NAME?</v>
      </c>
      <c r="H108" s="2" t="e">
        <f ca="1">_xll.ESQuote("ASIANPAINT.EQ-NSE","High")</f>
        <v>#NAME?</v>
      </c>
      <c r="I108" s="2" t="e">
        <f ca="1">_xll.ESQuote("ASIANPAINT.EQ-NSE","Last")</f>
        <v>#NAME?</v>
      </c>
      <c r="J108" s="4" t="e">
        <f ca="1">_xll.ESQuote("ASIANPAINT.EQ-NSE","Last_Time")</f>
        <v>#NAME?</v>
      </c>
      <c r="K108" s="2" t="e">
        <f ca="1">_xll.ESQuote("ASIANPAINT.EQ-NSE","Low")</f>
        <v>#NAME?</v>
      </c>
      <c r="L108" s="2" t="e">
        <f ca="1">_xll.ESQuote("ASIANPAINT.EQ-NSE","Open")</f>
        <v>#NAME?</v>
      </c>
      <c r="M108" s="2" t="e">
        <f ca="1">_xll.ESQuote("ASIANPAINT.EQ-NSE","PrevPrice")</f>
        <v>#NAME?</v>
      </c>
      <c r="N108" s="2" t="e">
        <f ca="1">_xll.ESQuote("ASIANPAINT.EQ-NSE","Symbol")</f>
        <v>#NAME?</v>
      </c>
      <c r="O108" s="2" t="e">
        <f ca="1">_xll.ESQuote("ASIANPAINT.EQ-NSE","Volume")</f>
        <v>#NAME?</v>
      </c>
    </row>
    <row r="109" spans="1:15" x14ac:dyDescent="0.25">
      <c r="A109" s="1" t="s">
        <v>121</v>
      </c>
      <c r="B109" s="2" t="e">
        <f ca="1">_xll.ESQuote("ASIANTILES.EQ-NSE","% Change")</f>
        <v>#NAME?</v>
      </c>
      <c r="C109" s="2" t="e">
        <f ca="1">_xll.ESQuote("ASIANTILES.EQ-NSE","Change")</f>
        <v>#NAME?</v>
      </c>
      <c r="D109" s="2" t="e">
        <f ca="1">_xll.ESQuote("ASIANTILES.EQ-NSE","Close")</f>
        <v>#NAME?</v>
      </c>
      <c r="E109" s="2" t="e">
        <f ca="1">_xll.ESQuote("ASIANTILES.EQ-NSE","Company")</f>
        <v>#NAME?</v>
      </c>
      <c r="F109" s="2" t="e">
        <f ca="1">_xll.ESQuote("ASIANTILES.EQ-NSE","Description")</f>
        <v>#NAME?</v>
      </c>
      <c r="G109" s="2" t="e">
        <f ca="1">_xll.ESQuote("ASIANTILES.EQ-NSE","Exchange")</f>
        <v>#NAME?</v>
      </c>
      <c r="H109" s="2" t="e">
        <f ca="1">_xll.ESQuote("ASIANTILES.EQ-NSE","High")</f>
        <v>#NAME?</v>
      </c>
      <c r="I109" s="2" t="e">
        <f ca="1">_xll.ESQuote("ASIANTILES.EQ-NSE","Last")</f>
        <v>#NAME?</v>
      </c>
      <c r="J109" s="4" t="e">
        <f ca="1">_xll.ESQuote("ASIANTILES.EQ-NSE","Last_Time")</f>
        <v>#NAME?</v>
      </c>
      <c r="K109" s="2" t="e">
        <f ca="1">_xll.ESQuote("ASIANTILES.EQ-NSE","Low")</f>
        <v>#NAME?</v>
      </c>
      <c r="L109" s="2" t="e">
        <f ca="1">_xll.ESQuote("ASIANTILES.EQ-NSE","Open")</f>
        <v>#NAME?</v>
      </c>
      <c r="M109" s="2" t="e">
        <f ca="1">_xll.ESQuote("ASIANTILES.EQ-NSE","PrevPrice")</f>
        <v>#NAME?</v>
      </c>
      <c r="N109" s="2" t="e">
        <f ca="1">_xll.ESQuote("ASIANTILES.EQ-NSE","Symbol")</f>
        <v>#NAME?</v>
      </c>
      <c r="O109" s="2" t="e">
        <f ca="1">_xll.ESQuote("ASIANTILES.EQ-NSE","Volume")</f>
        <v>#NAME?</v>
      </c>
    </row>
    <row r="110" spans="1:15" x14ac:dyDescent="0.25">
      <c r="A110" s="1" t="s">
        <v>122</v>
      </c>
      <c r="B110" s="2" t="e">
        <f ca="1">_xll.ESQuote("ASIL.EQ-NSE","% Change")</f>
        <v>#NAME?</v>
      </c>
      <c r="C110" s="2" t="e">
        <f ca="1">_xll.ESQuote("ASIL.EQ-NSE","Change")</f>
        <v>#NAME?</v>
      </c>
      <c r="D110" s="2" t="e">
        <f ca="1">_xll.ESQuote("ASIL.EQ-NSE","Close")</f>
        <v>#NAME?</v>
      </c>
      <c r="E110" s="2" t="e">
        <f ca="1">_xll.ESQuote("ASIL.EQ-NSE","Company")</f>
        <v>#NAME?</v>
      </c>
      <c r="F110" s="2" t="e">
        <f ca="1">_xll.ESQuote("ASIL.EQ-NSE","Description")</f>
        <v>#NAME?</v>
      </c>
      <c r="G110" s="2" t="e">
        <f ca="1">_xll.ESQuote("ASIL.EQ-NSE","Exchange")</f>
        <v>#NAME?</v>
      </c>
      <c r="H110" s="2" t="e">
        <f ca="1">_xll.ESQuote("ASIL.EQ-NSE","High")</f>
        <v>#NAME?</v>
      </c>
      <c r="I110" s="2" t="e">
        <f ca="1">_xll.ESQuote("ASIL.EQ-NSE","Last")</f>
        <v>#NAME?</v>
      </c>
      <c r="J110" s="4" t="e">
        <f ca="1">_xll.ESQuote("ASIL.EQ-NSE","Last_Time")</f>
        <v>#NAME?</v>
      </c>
      <c r="K110" s="2" t="e">
        <f ca="1">_xll.ESQuote("ASIL.EQ-NSE","Low")</f>
        <v>#NAME?</v>
      </c>
      <c r="L110" s="2" t="e">
        <f ca="1">_xll.ESQuote("ASIL.EQ-NSE","Open")</f>
        <v>#NAME?</v>
      </c>
      <c r="M110" s="2" t="e">
        <f ca="1">_xll.ESQuote("ASIL.EQ-NSE","PrevPrice")</f>
        <v>#NAME?</v>
      </c>
      <c r="N110" s="2" t="e">
        <f ca="1">_xll.ESQuote("ASIL.EQ-NSE","Symbol")</f>
        <v>#NAME?</v>
      </c>
      <c r="O110" s="2" t="e">
        <f ca="1">_xll.ESQuote("ASIL.EQ-NSE","Volume")</f>
        <v>#NAME?</v>
      </c>
    </row>
    <row r="111" spans="1:15" x14ac:dyDescent="0.25">
      <c r="A111" s="1" t="s">
        <v>123</v>
      </c>
      <c r="B111" s="2" t="e">
        <f ca="1">_xll.ESQuote("ASSAMCO.EQ-NSE","% Change")</f>
        <v>#NAME?</v>
      </c>
      <c r="C111" s="2" t="e">
        <f ca="1">_xll.ESQuote("ASSAMCO.EQ-NSE","Change")</f>
        <v>#NAME?</v>
      </c>
      <c r="D111" s="2" t="e">
        <f ca="1">_xll.ESQuote("ASSAMCO.EQ-NSE","Close")</f>
        <v>#NAME?</v>
      </c>
      <c r="E111" s="2" t="e">
        <f ca="1">_xll.ESQuote("ASSAMCO.EQ-NSE","Company")</f>
        <v>#NAME?</v>
      </c>
      <c r="F111" s="2" t="e">
        <f ca="1">_xll.ESQuote("ASSAMCO.EQ-NSE","Description")</f>
        <v>#NAME?</v>
      </c>
      <c r="G111" s="2" t="e">
        <f ca="1">_xll.ESQuote("ASSAMCO.EQ-NSE","Exchange")</f>
        <v>#NAME?</v>
      </c>
      <c r="H111" s="2" t="e">
        <f ca="1">_xll.ESQuote("ASSAMCO.EQ-NSE","High")</f>
        <v>#NAME?</v>
      </c>
      <c r="I111" s="2" t="e">
        <f ca="1">_xll.ESQuote("ASSAMCO.EQ-NSE","Last")</f>
        <v>#NAME?</v>
      </c>
      <c r="J111" s="4" t="e">
        <f ca="1">_xll.ESQuote("ASSAMCO.EQ-NSE","Last_Time")</f>
        <v>#NAME?</v>
      </c>
      <c r="K111" s="2" t="e">
        <f ca="1">_xll.ESQuote("ASSAMCO.EQ-NSE","Low")</f>
        <v>#NAME?</v>
      </c>
      <c r="L111" s="2" t="e">
        <f ca="1">_xll.ESQuote("ASSAMCO.EQ-NSE","Open")</f>
        <v>#NAME?</v>
      </c>
      <c r="M111" s="2" t="e">
        <f ca="1">_xll.ESQuote("ASSAMCO.EQ-NSE","PrevPrice")</f>
        <v>#NAME?</v>
      </c>
      <c r="N111" s="2" t="e">
        <f ca="1">_xll.ESQuote("ASSAMCO.EQ-NSE","Symbol")</f>
        <v>#NAME?</v>
      </c>
      <c r="O111" s="2" t="e">
        <f ca="1">_xll.ESQuote("ASSAMCO.EQ-NSE","Volume")</f>
        <v>#NAME?</v>
      </c>
    </row>
    <row r="112" spans="1:15" x14ac:dyDescent="0.25">
      <c r="A112" s="1" t="s">
        <v>124</v>
      </c>
      <c r="B112" s="2" t="e">
        <f ca="1">_xll.ESQuote("ASTEC.EQ-NSE","% Change")</f>
        <v>#NAME?</v>
      </c>
      <c r="C112" s="2" t="e">
        <f ca="1">_xll.ESQuote("ASTEC.EQ-NSE","Change")</f>
        <v>#NAME?</v>
      </c>
      <c r="D112" s="2" t="e">
        <f ca="1">_xll.ESQuote("ASTEC.EQ-NSE","Close")</f>
        <v>#NAME?</v>
      </c>
      <c r="E112" s="2" t="e">
        <f ca="1">_xll.ESQuote("ASTEC.EQ-NSE","Company")</f>
        <v>#NAME?</v>
      </c>
      <c r="F112" s="2" t="e">
        <f ca="1">_xll.ESQuote("ASTEC.EQ-NSE","Description")</f>
        <v>#NAME?</v>
      </c>
      <c r="G112" s="2" t="e">
        <f ca="1">_xll.ESQuote("ASTEC.EQ-NSE","Exchange")</f>
        <v>#NAME?</v>
      </c>
      <c r="H112" s="2" t="e">
        <f ca="1">_xll.ESQuote("ASTEC.EQ-NSE","High")</f>
        <v>#NAME?</v>
      </c>
      <c r="I112" s="2" t="e">
        <f ca="1">_xll.ESQuote("ASTEC.EQ-NSE","Last")</f>
        <v>#NAME?</v>
      </c>
      <c r="J112" s="4" t="e">
        <f ca="1">_xll.ESQuote("ASTEC.EQ-NSE","Last_Time")</f>
        <v>#NAME?</v>
      </c>
      <c r="K112" s="2" t="e">
        <f ca="1">_xll.ESQuote("ASTEC.EQ-NSE","Low")</f>
        <v>#NAME?</v>
      </c>
      <c r="L112" s="2" t="e">
        <f ca="1">_xll.ESQuote("ASTEC.EQ-NSE","Open")</f>
        <v>#NAME?</v>
      </c>
      <c r="M112" s="2" t="e">
        <f ca="1">_xll.ESQuote("ASTEC.EQ-NSE","PrevPrice")</f>
        <v>#NAME?</v>
      </c>
      <c r="N112" s="2" t="e">
        <f ca="1">_xll.ESQuote("ASTEC.EQ-NSE","Symbol")</f>
        <v>#NAME?</v>
      </c>
      <c r="O112" s="2" t="e">
        <f ca="1">_xll.ESQuote("ASTEC.EQ-NSE","Volume")</f>
        <v>#NAME?</v>
      </c>
    </row>
    <row r="113" spans="1:15" x14ac:dyDescent="0.25">
      <c r="A113" s="1" t="s">
        <v>125</v>
      </c>
      <c r="B113" s="2" t="e">
        <f ca="1">_xll.ESQuote("ASTRAL.EQ-NSE","% Change")</f>
        <v>#NAME?</v>
      </c>
      <c r="C113" s="2" t="e">
        <f ca="1">_xll.ESQuote("ASTRAL.EQ-NSE","Change")</f>
        <v>#NAME?</v>
      </c>
      <c r="D113" s="2" t="e">
        <f ca="1">_xll.ESQuote("ASTRAL.EQ-NSE","Close")</f>
        <v>#NAME?</v>
      </c>
      <c r="E113" s="2" t="e">
        <f ca="1">_xll.ESQuote("ASTRAL.EQ-NSE","Company")</f>
        <v>#NAME?</v>
      </c>
      <c r="F113" s="2" t="e">
        <f ca="1">_xll.ESQuote("ASTRAL.EQ-NSE","Description")</f>
        <v>#NAME?</v>
      </c>
      <c r="G113" s="2" t="e">
        <f ca="1">_xll.ESQuote("ASTRAL.EQ-NSE","Exchange")</f>
        <v>#NAME?</v>
      </c>
      <c r="H113" s="2" t="e">
        <f ca="1">_xll.ESQuote("ASTRAL.EQ-NSE","High")</f>
        <v>#NAME?</v>
      </c>
      <c r="I113" s="2" t="e">
        <f ca="1">_xll.ESQuote("ASTRAL.EQ-NSE","Last")</f>
        <v>#NAME?</v>
      </c>
      <c r="J113" s="4" t="e">
        <f ca="1">_xll.ESQuote("ASTRAL.EQ-NSE","Last_Time")</f>
        <v>#NAME?</v>
      </c>
      <c r="K113" s="2" t="e">
        <f ca="1">_xll.ESQuote("ASTRAL.EQ-NSE","Low")</f>
        <v>#NAME?</v>
      </c>
      <c r="L113" s="2" t="e">
        <f ca="1">_xll.ESQuote("ASTRAL.EQ-NSE","Open")</f>
        <v>#NAME?</v>
      </c>
      <c r="M113" s="2" t="e">
        <f ca="1">_xll.ESQuote("ASTRAL.EQ-NSE","PrevPrice")</f>
        <v>#NAME?</v>
      </c>
      <c r="N113" s="2" t="e">
        <f ca="1">_xll.ESQuote("ASTRAL.EQ-NSE","Symbol")</f>
        <v>#NAME?</v>
      </c>
      <c r="O113" s="2" t="e">
        <f ca="1">_xll.ESQuote("ASTRAL.EQ-NSE","Volume")</f>
        <v>#NAME?</v>
      </c>
    </row>
    <row r="114" spans="1:15" x14ac:dyDescent="0.25">
      <c r="A114" s="1" t="s">
        <v>126</v>
      </c>
      <c r="B114" s="2" t="e">
        <f ca="1">_xll.ESQuote("ASTRAMICRO.EQ-NSE","% Change")</f>
        <v>#NAME?</v>
      </c>
      <c r="C114" s="2" t="e">
        <f ca="1">_xll.ESQuote("ASTRAMICRO.EQ-NSE","Change")</f>
        <v>#NAME?</v>
      </c>
      <c r="D114" s="2" t="e">
        <f ca="1">_xll.ESQuote("ASTRAMICRO.EQ-NSE","Close")</f>
        <v>#NAME?</v>
      </c>
      <c r="E114" s="2" t="e">
        <f ca="1">_xll.ESQuote("ASTRAMICRO.EQ-NSE","Company")</f>
        <v>#NAME?</v>
      </c>
      <c r="F114" s="2" t="e">
        <f ca="1">_xll.ESQuote("ASTRAMICRO.EQ-NSE","Description")</f>
        <v>#NAME?</v>
      </c>
      <c r="G114" s="2" t="e">
        <f ca="1">_xll.ESQuote("ASTRAMICRO.EQ-NSE","Exchange")</f>
        <v>#NAME?</v>
      </c>
      <c r="H114" s="2" t="e">
        <f ca="1">_xll.ESQuote("ASTRAMICRO.EQ-NSE","High")</f>
        <v>#NAME?</v>
      </c>
      <c r="I114" s="2" t="e">
        <f ca="1">_xll.ESQuote("ASTRAMICRO.EQ-NSE","Last")</f>
        <v>#NAME?</v>
      </c>
      <c r="J114" s="4" t="e">
        <f ca="1">_xll.ESQuote("ASTRAMICRO.EQ-NSE","Last_Time")</f>
        <v>#NAME?</v>
      </c>
      <c r="K114" s="2" t="e">
        <f ca="1">_xll.ESQuote("ASTRAMICRO.EQ-NSE","Low")</f>
        <v>#NAME?</v>
      </c>
      <c r="L114" s="2" t="e">
        <f ca="1">_xll.ESQuote("ASTRAMICRO.EQ-NSE","Open")</f>
        <v>#NAME?</v>
      </c>
      <c r="M114" s="2" t="e">
        <f ca="1">_xll.ESQuote("ASTRAMICRO.EQ-NSE","PrevPrice")</f>
        <v>#NAME?</v>
      </c>
      <c r="N114" s="2" t="e">
        <f ca="1">_xll.ESQuote("ASTRAMICRO.EQ-NSE","Symbol")</f>
        <v>#NAME?</v>
      </c>
      <c r="O114" s="2" t="e">
        <f ca="1">_xll.ESQuote("ASTRAMICRO.EQ-NSE","Volume")</f>
        <v>#NAME?</v>
      </c>
    </row>
    <row r="115" spans="1:15" x14ac:dyDescent="0.25">
      <c r="A115" s="1" t="s">
        <v>127</v>
      </c>
      <c r="B115" s="2" t="e">
        <f ca="1">_xll.ESQuote("ASTRAZEN.EQ-NSE","% Change")</f>
        <v>#NAME?</v>
      </c>
      <c r="C115" s="2" t="e">
        <f ca="1">_xll.ESQuote("ASTRAZEN.EQ-NSE","Change")</f>
        <v>#NAME?</v>
      </c>
      <c r="D115" s="2" t="e">
        <f ca="1">_xll.ESQuote("ASTRAZEN.EQ-NSE","Close")</f>
        <v>#NAME?</v>
      </c>
      <c r="E115" s="2" t="e">
        <f ca="1">_xll.ESQuote("ASTRAZEN.EQ-NSE","Company")</f>
        <v>#NAME?</v>
      </c>
      <c r="F115" s="2" t="e">
        <f ca="1">_xll.ESQuote("ASTRAZEN.EQ-NSE","Description")</f>
        <v>#NAME?</v>
      </c>
      <c r="G115" s="2" t="e">
        <f ca="1">_xll.ESQuote("ASTRAZEN.EQ-NSE","Exchange")</f>
        <v>#NAME?</v>
      </c>
      <c r="H115" s="2" t="e">
        <f ca="1">_xll.ESQuote("ASTRAZEN.EQ-NSE","High")</f>
        <v>#NAME?</v>
      </c>
      <c r="I115" s="2" t="e">
        <f ca="1">_xll.ESQuote("ASTRAZEN.EQ-NSE","Last")</f>
        <v>#NAME?</v>
      </c>
      <c r="J115" s="4" t="e">
        <f ca="1">_xll.ESQuote("ASTRAZEN.EQ-NSE","Last_Time")</f>
        <v>#NAME?</v>
      </c>
      <c r="K115" s="2" t="e">
        <f ca="1">_xll.ESQuote("ASTRAZEN.EQ-NSE","Low")</f>
        <v>#NAME?</v>
      </c>
      <c r="L115" s="2" t="e">
        <f ca="1">_xll.ESQuote("ASTRAZEN.EQ-NSE","Open")</f>
        <v>#NAME?</v>
      </c>
      <c r="M115" s="2" t="e">
        <f ca="1">_xll.ESQuote("ASTRAZEN.EQ-NSE","PrevPrice")</f>
        <v>#NAME?</v>
      </c>
      <c r="N115" s="2" t="e">
        <f ca="1">_xll.ESQuote("ASTRAZEN.EQ-NSE","Symbol")</f>
        <v>#NAME?</v>
      </c>
      <c r="O115" s="2" t="e">
        <f ca="1">_xll.ESQuote("ASTRAZEN.EQ-NSE","Volume")</f>
        <v>#NAME?</v>
      </c>
    </row>
    <row r="116" spans="1:15" x14ac:dyDescent="0.25">
      <c r="A116" s="1" t="s">
        <v>128</v>
      </c>
      <c r="B116" s="2" t="e">
        <f ca="1">_xll.ESQuote("ATFL.EQ-NSE","% Change")</f>
        <v>#NAME?</v>
      </c>
      <c r="C116" s="2" t="e">
        <f ca="1">_xll.ESQuote("ATFL.EQ-NSE","Change")</f>
        <v>#NAME?</v>
      </c>
      <c r="D116" s="2" t="e">
        <f ca="1">_xll.ESQuote("ATFL.EQ-NSE","Close")</f>
        <v>#NAME?</v>
      </c>
      <c r="E116" s="2" t="e">
        <f ca="1">_xll.ESQuote("ATFL.EQ-NSE","Company")</f>
        <v>#NAME?</v>
      </c>
      <c r="F116" s="2" t="e">
        <f ca="1">_xll.ESQuote("ATFL.EQ-NSE","Description")</f>
        <v>#NAME?</v>
      </c>
      <c r="G116" s="2" t="e">
        <f ca="1">_xll.ESQuote("ATFL.EQ-NSE","Exchange")</f>
        <v>#NAME?</v>
      </c>
      <c r="H116" s="2" t="e">
        <f ca="1">_xll.ESQuote("ATFL.EQ-NSE","High")</f>
        <v>#NAME?</v>
      </c>
      <c r="I116" s="2" t="e">
        <f ca="1">_xll.ESQuote("ATFL.EQ-NSE","Last")</f>
        <v>#NAME?</v>
      </c>
      <c r="J116" s="4" t="e">
        <f ca="1">_xll.ESQuote("ATFL.EQ-NSE","Last_Time")</f>
        <v>#NAME?</v>
      </c>
      <c r="K116" s="2" t="e">
        <f ca="1">_xll.ESQuote("ATFL.EQ-NSE","Low")</f>
        <v>#NAME?</v>
      </c>
      <c r="L116" s="2" t="e">
        <f ca="1">_xll.ESQuote("ATFL.EQ-NSE","Open")</f>
        <v>#NAME?</v>
      </c>
      <c r="M116" s="2" t="e">
        <f ca="1">_xll.ESQuote("ATFL.EQ-NSE","PrevPrice")</f>
        <v>#NAME?</v>
      </c>
      <c r="N116" s="2" t="e">
        <f ca="1">_xll.ESQuote("ATFL.EQ-NSE","Symbol")</f>
        <v>#NAME?</v>
      </c>
      <c r="O116" s="2" t="e">
        <f ca="1">_xll.ESQuote("ATFL.EQ-NSE","Volume")</f>
        <v>#NAME?</v>
      </c>
    </row>
    <row r="117" spans="1:15" x14ac:dyDescent="0.25">
      <c r="A117" s="1" t="s">
        <v>129</v>
      </c>
      <c r="B117" s="2" t="e">
        <f ca="1">_xll.ESQuote("ATLANTA.EQ-NSE","% Change")</f>
        <v>#NAME?</v>
      </c>
      <c r="C117" s="2" t="e">
        <f ca="1">_xll.ESQuote("ATLANTA.EQ-NSE","Change")</f>
        <v>#NAME?</v>
      </c>
      <c r="D117" s="2" t="e">
        <f ca="1">_xll.ESQuote("ATLANTA.EQ-NSE","Close")</f>
        <v>#NAME?</v>
      </c>
      <c r="E117" s="2" t="e">
        <f ca="1">_xll.ESQuote("ATLANTA.EQ-NSE","Company")</f>
        <v>#NAME?</v>
      </c>
      <c r="F117" s="2" t="e">
        <f ca="1">_xll.ESQuote("ATLANTA.EQ-NSE","Description")</f>
        <v>#NAME?</v>
      </c>
      <c r="G117" s="2" t="e">
        <f ca="1">_xll.ESQuote("ATLANTA.EQ-NSE","Exchange")</f>
        <v>#NAME?</v>
      </c>
      <c r="H117" s="2" t="e">
        <f ca="1">_xll.ESQuote("ATLANTA.EQ-NSE","High")</f>
        <v>#NAME?</v>
      </c>
      <c r="I117" s="2" t="e">
        <f ca="1">_xll.ESQuote("ATLANTA.EQ-NSE","Last")</f>
        <v>#NAME?</v>
      </c>
      <c r="J117" s="4" t="e">
        <f ca="1">_xll.ESQuote("ATLANTA.EQ-NSE","Last_Time")</f>
        <v>#NAME?</v>
      </c>
      <c r="K117" s="2" t="e">
        <f ca="1">_xll.ESQuote("ATLANTA.EQ-NSE","Low")</f>
        <v>#NAME?</v>
      </c>
      <c r="L117" s="2" t="e">
        <f ca="1">_xll.ESQuote("ATLANTA.EQ-NSE","Open")</f>
        <v>#NAME?</v>
      </c>
      <c r="M117" s="2" t="e">
        <f ca="1">_xll.ESQuote("ATLANTA.EQ-NSE","PrevPrice")</f>
        <v>#NAME?</v>
      </c>
      <c r="N117" s="2" t="e">
        <f ca="1">_xll.ESQuote("ATLANTA.EQ-NSE","Symbol")</f>
        <v>#NAME?</v>
      </c>
      <c r="O117" s="2" t="e">
        <f ca="1">_xll.ESQuote("ATLANTA.EQ-NSE","Volume")</f>
        <v>#NAME?</v>
      </c>
    </row>
    <row r="118" spans="1:15" x14ac:dyDescent="0.25">
      <c r="A118" s="1" t="s">
        <v>130</v>
      </c>
      <c r="B118" s="2" t="e">
        <f ca="1">_xll.ESQuote("ATLASCYCLE.EQ-NSE","% Change")</f>
        <v>#NAME?</v>
      </c>
      <c r="C118" s="2" t="e">
        <f ca="1">_xll.ESQuote("ATLASCYCLE.EQ-NSE","Change")</f>
        <v>#NAME?</v>
      </c>
      <c r="D118" s="2" t="e">
        <f ca="1">_xll.ESQuote("ATLASCYCLE.EQ-NSE","Close")</f>
        <v>#NAME?</v>
      </c>
      <c r="E118" s="2" t="e">
        <f ca="1">_xll.ESQuote("ATLASCYCLE.EQ-NSE","Company")</f>
        <v>#NAME?</v>
      </c>
      <c r="F118" s="2" t="e">
        <f ca="1">_xll.ESQuote("ATLASCYCLE.EQ-NSE","Description")</f>
        <v>#NAME?</v>
      </c>
      <c r="G118" s="2" t="e">
        <f ca="1">_xll.ESQuote("ATLASCYCLE.EQ-NSE","Exchange")</f>
        <v>#NAME?</v>
      </c>
      <c r="H118" s="2" t="e">
        <f ca="1">_xll.ESQuote("ATLASCYCLE.EQ-NSE","High")</f>
        <v>#NAME?</v>
      </c>
      <c r="I118" s="2" t="e">
        <f ca="1">_xll.ESQuote("ATLASCYCLE.EQ-NSE","Last")</f>
        <v>#NAME?</v>
      </c>
      <c r="J118" s="4" t="e">
        <f ca="1">_xll.ESQuote("ATLASCYCLE.EQ-NSE","Last_Time")</f>
        <v>#NAME?</v>
      </c>
      <c r="K118" s="2" t="e">
        <f ca="1">_xll.ESQuote("ATLASCYCLE.EQ-NSE","Low")</f>
        <v>#NAME?</v>
      </c>
      <c r="L118" s="2" t="e">
        <f ca="1">_xll.ESQuote("ATLASCYCLE.EQ-NSE","Open")</f>
        <v>#NAME?</v>
      </c>
      <c r="M118" s="2" t="e">
        <f ca="1">_xll.ESQuote("ATLASCYCLE.EQ-NSE","PrevPrice")</f>
        <v>#NAME?</v>
      </c>
      <c r="N118" s="2" t="e">
        <f ca="1">_xll.ESQuote("ATLASCYCLE.EQ-NSE","Symbol")</f>
        <v>#NAME?</v>
      </c>
      <c r="O118" s="2" t="e">
        <f ca="1">_xll.ESQuote("ATLASCYCLE.EQ-NSE","Volume")</f>
        <v>#NAME?</v>
      </c>
    </row>
    <row r="119" spans="1:15" x14ac:dyDescent="0.25">
      <c r="A119" s="1" t="s">
        <v>131</v>
      </c>
      <c r="B119" s="2" t="e">
        <f ca="1">_xll.ESQuote("ATNINTER.EQ-NSE","% Change")</f>
        <v>#NAME?</v>
      </c>
      <c r="C119" s="2" t="e">
        <f ca="1">_xll.ESQuote("ATNINTER.EQ-NSE","Change")</f>
        <v>#NAME?</v>
      </c>
      <c r="D119" s="2" t="e">
        <f ca="1">_xll.ESQuote("ATNINTER.EQ-NSE","Close")</f>
        <v>#NAME?</v>
      </c>
      <c r="E119" s="2" t="e">
        <f ca="1">_xll.ESQuote("ATNINTER.EQ-NSE","Company")</f>
        <v>#NAME?</v>
      </c>
      <c r="F119" s="2" t="e">
        <f ca="1">_xll.ESQuote("ATNINTER.EQ-NSE","Description")</f>
        <v>#NAME?</v>
      </c>
      <c r="G119" s="2" t="e">
        <f ca="1">_xll.ESQuote("ATNINTER.EQ-NSE","Exchange")</f>
        <v>#NAME?</v>
      </c>
      <c r="H119" s="2" t="e">
        <f ca="1">_xll.ESQuote("ATNINTER.EQ-NSE","High")</f>
        <v>#NAME?</v>
      </c>
      <c r="I119" s="2" t="e">
        <f ca="1">_xll.ESQuote("ATNINTER.EQ-NSE","Last")</f>
        <v>#NAME?</v>
      </c>
      <c r="J119" s="4" t="e">
        <f ca="1">_xll.ESQuote("ATNINTER.EQ-NSE","Last_Time")</f>
        <v>#NAME?</v>
      </c>
      <c r="K119" s="2" t="e">
        <f ca="1">_xll.ESQuote("ATNINTER.EQ-NSE","Low")</f>
        <v>#NAME?</v>
      </c>
      <c r="L119" s="2" t="e">
        <f ca="1">_xll.ESQuote("ATNINTER.EQ-NSE","Open")</f>
        <v>#NAME?</v>
      </c>
      <c r="M119" s="2" t="e">
        <f ca="1">_xll.ESQuote("ATNINTER.EQ-NSE","PrevPrice")</f>
        <v>#NAME?</v>
      </c>
      <c r="N119" s="2" t="e">
        <f ca="1">_xll.ESQuote("ATNINTER.EQ-NSE","Symbol")</f>
        <v>#NAME?</v>
      </c>
      <c r="O119" s="2" t="e">
        <f ca="1">_xll.ESQuote("ATNINTER.EQ-NSE","Volume")</f>
        <v>#NAME?</v>
      </c>
    </row>
    <row r="120" spans="1:15" x14ac:dyDescent="0.25">
      <c r="A120" s="1" t="s">
        <v>132</v>
      </c>
      <c r="B120" s="2" t="e">
        <f ca="1">_xll.ESQuote("ATUL.EQ-NSE","% Change")</f>
        <v>#NAME?</v>
      </c>
      <c r="C120" s="2" t="e">
        <f ca="1">_xll.ESQuote("ATUL.EQ-NSE","Change")</f>
        <v>#NAME?</v>
      </c>
      <c r="D120" s="2" t="e">
        <f ca="1">_xll.ESQuote("ATUL.EQ-NSE","Close")</f>
        <v>#NAME?</v>
      </c>
      <c r="E120" s="2" t="e">
        <f ca="1">_xll.ESQuote("ATUL.EQ-NSE","Company")</f>
        <v>#NAME?</v>
      </c>
      <c r="F120" s="2" t="e">
        <f ca="1">_xll.ESQuote("ATUL.EQ-NSE","Description")</f>
        <v>#NAME?</v>
      </c>
      <c r="G120" s="2" t="e">
        <f ca="1">_xll.ESQuote("ATUL.EQ-NSE","Exchange")</f>
        <v>#NAME?</v>
      </c>
      <c r="H120" s="2" t="e">
        <f ca="1">_xll.ESQuote("ATUL.EQ-NSE","High")</f>
        <v>#NAME?</v>
      </c>
      <c r="I120" s="2" t="e">
        <f ca="1">_xll.ESQuote("ATUL.EQ-NSE","Last")</f>
        <v>#NAME?</v>
      </c>
      <c r="J120" s="4" t="e">
        <f ca="1">_xll.ESQuote("ATUL.EQ-NSE","Last_Time")</f>
        <v>#NAME?</v>
      </c>
      <c r="K120" s="2" t="e">
        <f ca="1">_xll.ESQuote("ATUL.EQ-NSE","Low")</f>
        <v>#NAME?</v>
      </c>
      <c r="L120" s="2" t="e">
        <f ca="1">_xll.ESQuote("ATUL.EQ-NSE","Open")</f>
        <v>#NAME?</v>
      </c>
      <c r="M120" s="2" t="e">
        <f ca="1">_xll.ESQuote("ATUL.EQ-NSE","PrevPrice")</f>
        <v>#NAME?</v>
      </c>
      <c r="N120" s="2" t="e">
        <f ca="1">_xll.ESQuote("ATUL.EQ-NSE","Symbol")</f>
        <v>#NAME?</v>
      </c>
      <c r="O120" s="2" t="e">
        <f ca="1">_xll.ESQuote("ATUL.EQ-NSE","Volume")</f>
        <v>#NAME?</v>
      </c>
    </row>
    <row r="121" spans="1:15" x14ac:dyDescent="0.25">
      <c r="A121" s="1" t="s">
        <v>133</v>
      </c>
      <c r="B121" s="2" t="e">
        <f ca="1">_xll.ESQuote("ATULAUTO.EQ-NSE","% Change")</f>
        <v>#NAME?</v>
      </c>
      <c r="C121" s="2" t="e">
        <f ca="1">_xll.ESQuote("ATULAUTO.EQ-NSE","Change")</f>
        <v>#NAME?</v>
      </c>
      <c r="D121" s="2" t="e">
        <f ca="1">_xll.ESQuote("ATULAUTO.EQ-NSE","Close")</f>
        <v>#NAME?</v>
      </c>
      <c r="E121" s="2" t="e">
        <f ca="1">_xll.ESQuote("ATULAUTO.EQ-NSE","Company")</f>
        <v>#NAME?</v>
      </c>
      <c r="F121" s="2" t="e">
        <f ca="1">_xll.ESQuote("ATULAUTO.EQ-NSE","Description")</f>
        <v>#NAME?</v>
      </c>
      <c r="G121" s="2" t="e">
        <f ca="1">_xll.ESQuote("ATULAUTO.EQ-NSE","Exchange")</f>
        <v>#NAME?</v>
      </c>
      <c r="H121" s="2" t="e">
        <f ca="1">_xll.ESQuote("ATULAUTO.EQ-NSE","High")</f>
        <v>#NAME?</v>
      </c>
      <c r="I121" s="2" t="e">
        <f ca="1">_xll.ESQuote("ATULAUTO.EQ-NSE","Last")</f>
        <v>#NAME?</v>
      </c>
      <c r="J121" s="4" t="e">
        <f ca="1">_xll.ESQuote("ATULAUTO.EQ-NSE","Last_Time")</f>
        <v>#NAME?</v>
      </c>
      <c r="K121" s="2" t="e">
        <f ca="1">_xll.ESQuote("ATULAUTO.EQ-NSE","Low")</f>
        <v>#NAME?</v>
      </c>
      <c r="L121" s="2" t="e">
        <f ca="1">_xll.ESQuote("ATULAUTO.EQ-NSE","Open")</f>
        <v>#NAME?</v>
      </c>
      <c r="M121" s="2" t="e">
        <f ca="1">_xll.ESQuote("ATULAUTO.EQ-NSE","PrevPrice")</f>
        <v>#NAME?</v>
      </c>
      <c r="N121" s="2" t="e">
        <f ca="1">_xll.ESQuote("ATULAUTO.EQ-NSE","Symbol")</f>
        <v>#NAME?</v>
      </c>
      <c r="O121" s="2" t="e">
        <f ca="1">_xll.ESQuote("ATULAUTO.EQ-NSE","Volume")</f>
        <v>#NAME?</v>
      </c>
    </row>
    <row r="122" spans="1:15" x14ac:dyDescent="0.25">
      <c r="A122" s="1" t="s">
        <v>134</v>
      </c>
      <c r="B122" s="2" t="e">
        <f ca="1">_xll.ESQuote("AURIONPRO.EQ-NSE","% Change")</f>
        <v>#NAME?</v>
      </c>
      <c r="C122" s="2" t="e">
        <f ca="1">_xll.ESQuote("AURIONPRO.EQ-NSE","Change")</f>
        <v>#NAME?</v>
      </c>
      <c r="D122" s="2" t="e">
        <f ca="1">_xll.ESQuote("AURIONPRO.EQ-NSE","Close")</f>
        <v>#NAME?</v>
      </c>
      <c r="E122" s="2" t="e">
        <f ca="1">_xll.ESQuote("AURIONPRO.EQ-NSE","Company")</f>
        <v>#NAME?</v>
      </c>
      <c r="F122" s="2" t="e">
        <f ca="1">_xll.ESQuote("AURIONPRO.EQ-NSE","Description")</f>
        <v>#NAME?</v>
      </c>
      <c r="G122" s="2" t="e">
        <f ca="1">_xll.ESQuote("AURIONPRO.EQ-NSE","Exchange")</f>
        <v>#NAME?</v>
      </c>
      <c r="H122" s="2" t="e">
        <f ca="1">_xll.ESQuote("AURIONPRO.EQ-NSE","High")</f>
        <v>#NAME?</v>
      </c>
      <c r="I122" s="2" t="e">
        <f ca="1">_xll.ESQuote("AURIONPRO.EQ-NSE","Last")</f>
        <v>#NAME?</v>
      </c>
      <c r="J122" s="4" t="e">
        <f ca="1">_xll.ESQuote("AURIONPRO.EQ-NSE","Last_Time")</f>
        <v>#NAME?</v>
      </c>
      <c r="K122" s="2" t="e">
        <f ca="1">_xll.ESQuote("AURIONPRO.EQ-NSE","Low")</f>
        <v>#NAME?</v>
      </c>
      <c r="L122" s="2" t="e">
        <f ca="1">_xll.ESQuote("AURIONPRO.EQ-NSE","Open")</f>
        <v>#NAME?</v>
      </c>
      <c r="M122" s="2" t="e">
        <f ca="1">_xll.ESQuote("AURIONPRO.EQ-NSE","PrevPrice")</f>
        <v>#NAME?</v>
      </c>
      <c r="N122" s="2" t="e">
        <f ca="1">_xll.ESQuote("AURIONPRO.EQ-NSE","Symbol")</f>
        <v>#NAME?</v>
      </c>
      <c r="O122" s="2" t="e">
        <f ca="1">_xll.ESQuote("AURIONPRO.EQ-NSE","Volume")</f>
        <v>#NAME?</v>
      </c>
    </row>
    <row r="123" spans="1:15" x14ac:dyDescent="0.25">
      <c r="A123" s="1" t="s">
        <v>135</v>
      </c>
      <c r="B123" s="2" t="e">
        <f ca="1">_xll.ESQuote("AUROPHARMA.EQ-NSE","% Change")</f>
        <v>#NAME?</v>
      </c>
      <c r="C123" s="2" t="e">
        <f ca="1">_xll.ESQuote("AUROPHARMA.EQ-NSE","Change")</f>
        <v>#NAME?</v>
      </c>
      <c r="D123" s="2" t="e">
        <f ca="1">_xll.ESQuote("AUROPHARMA.EQ-NSE","Close")</f>
        <v>#NAME?</v>
      </c>
      <c r="E123" s="2" t="e">
        <f ca="1">_xll.ESQuote("AUROPHARMA.EQ-NSE","Company")</f>
        <v>#NAME?</v>
      </c>
      <c r="F123" s="2" t="e">
        <f ca="1">_xll.ESQuote("AUROPHARMA.EQ-NSE","Description")</f>
        <v>#NAME?</v>
      </c>
      <c r="G123" s="2" t="e">
        <f ca="1">_xll.ESQuote("AUROPHARMA.EQ-NSE","Exchange")</f>
        <v>#NAME?</v>
      </c>
      <c r="H123" s="2" t="e">
        <f ca="1">_xll.ESQuote("AUROPHARMA.EQ-NSE","High")</f>
        <v>#NAME?</v>
      </c>
      <c r="I123" s="2" t="e">
        <f ca="1">_xll.ESQuote("AUROPHARMA.EQ-NSE","Last")</f>
        <v>#NAME?</v>
      </c>
      <c r="J123" s="4" t="e">
        <f ca="1">_xll.ESQuote("AUROPHARMA.EQ-NSE","Last_Time")</f>
        <v>#NAME?</v>
      </c>
      <c r="K123" s="2" t="e">
        <f ca="1">_xll.ESQuote("AUROPHARMA.EQ-NSE","Low")</f>
        <v>#NAME?</v>
      </c>
      <c r="L123" s="2" t="e">
        <f ca="1">_xll.ESQuote("AUROPHARMA.EQ-NSE","Open")</f>
        <v>#NAME?</v>
      </c>
      <c r="M123" s="2" t="e">
        <f ca="1">_xll.ESQuote("AUROPHARMA.EQ-NSE","PrevPrice")</f>
        <v>#NAME?</v>
      </c>
      <c r="N123" s="2" t="e">
        <f ca="1">_xll.ESQuote("AUROPHARMA.EQ-NSE","Symbol")</f>
        <v>#NAME?</v>
      </c>
      <c r="O123" s="2" t="e">
        <f ca="1">_xll.ESQuote("AUROPHARMA.EQ-NSE","Volume")</f>
        <v>#NAME?</v>
      </c>
    </row>
    <row r="124" spans="1:15" x14ac:dyDescent="0.25">
      <c r="A124" s="1" t="s">
        <v>136</v>
      </c>
      <c r="B124" s="2" t="e">
        <f ca="1">_xll.ESQuote("AUSOMENT.EQ-NSE","% Change")</f>
        <v>#NAME?</v>
      </c>
      <c r="C124" s="2" t="e">
        <f ca="1">_xll.ESQuote("AUSOMENT.EQ-NSE","Change")</f>
        <v>#NAME?</v>
      </c>
      <c r="D124" s="2" t="e">
        <f ca="1">_xll.ESQuote("AUSOMENT.EQ-NSE","Close")</f>
        <v>#NAME?</v>
      </c>
      <c r="E124" s="2" t="e">
        <f ca="1">_xll.ESQuote("AUSOMENT.EQ-NSE","Company")</f>
        <v>#NAME?</v>
      </c>
      <c r="F124" s="2" t="e">
        <f ca="1">_xll.ESQuote("AUSOMENT.EQ-NSE","Description")</f>
        <v>#NAME?</v>
      </c>
      <c r="G124" s="2" t="e">
        <f ca="1">_xll.ESQuote("AUSOMENT.EQ-NSE","Exchange")</f>
        <v>#NAME?</v>
      </c>
      <c r="H124" s="2" t="e">
        <f ca="1">_xll.ESQuote("AUSOMENT.EQ-NSE","High")</f>
        <v>#NAME?</v>
      </c>
      <c r="I124" s="2" t="e">
        <f ca="1">_xll.ESQuote("AUSOMENT.EQ-NSE","Last")</f>
        <v>#NAME?</v>
      </c>
      <c r="J124" s="4" t="e">
        <f ca="1">_xll.ESQuote("AUSOMENT.EQ-NSE","Last_Time")</f>
        <v>#NAME?</v>
      </c>
      <c r="K124" s="2" t="e">
        <f ca="1">_xll.ESQuote("AUSOMENT.EQ-NSE","Low")</f>
        <v>#NAME?</v>
      </c>
      <c r="L124" s="2" t="e">
        <f ca="1">_xll.ESQuote("AUSOMENT.EQ-NSE","Open")</f>
        <v>#NAME?</v>
      </c>
      <c r="M124" s="2" t="e">
        <f ca="1">_xll.ESQuote("AUSOMENT.EQ-NSE","PrevPrice")</f>
        <v>#NAME?</v>
      </c>
      <c r="N124" s="2" t="e">
        <f ca="1">_xll.ESQuote("AUSOMENT.EQ-NSE","Symbol")</f>
        <v>#NAME?</v>
      </c>
      <c r="O124" s="2" t="e">
        <f ca="1">_xll.ESQuote("AUSOMENT.EQ-NSE","Volume")</f>
        <v>#NAME?</v>
      </c>
    </row>
    <row r="125" spans="1:15" x14ac:dyDescent="0.25">
      <c r="A125" s="1" t="s">
        <v>137</v>
      </c>
      <c r="B125" s="2" t="e">
        <f ca="1">_xll.ESQuote("AUSTRAL.EQ-NSE","% Change")</f>
        <v>#NAME?</v>
      </c>
      <c r="C125" s="2" t="e">
        <f ca="1">_xll.ESQuote("AUSTRAL.EQ-NSE","Change")</f>
        <v>#NAME?</v>
      </c>
      <c r="D125" s="2" t="e">
        <f ca="1">_xll.ESQuote("AUSTRAL.EQ-NSE","Close")</f>
        <v>#NAME?</v>
      </c>
      <c r="E125" s="2" t="e">
        <f ca="1">_xll.ESQuote("AUSTRAL.EQ-NSE","Company")</f>
        <v>#NAME?</v>
      </c>
      <c r="F125" s="2" t="e">
        <f ca="1">_xll.ESQuote("AUSTRAL.EQ-NSE","Description")</f>
        <v>#NAME?</v>
      </c>
      <c r="G125" s="2" t="e">
        <f ca="1">_xll.ESQuote("AUSTRAL.EQ-NSE","Exchange")</f>
        <v>#NAME?</v>
      </c>
      <c r="H125" s="2" t="e">
        <f ca="1">_xll.ESQuote("AUSTRAL.EQ-NSE","High")</f>
        <v>#NAME?</v>
      </c>
      <c r="I125" s="2" t="e">
        <f ca="1">_xll.ESQuote("AUSTRAL.EQ-NSE","Last")</f>
        <v>#NAME?</v>
      </c>
      <c r="J125" s="4" t="e">
        <f ca="1">_xll.ESQuote("AUSTRAL.EQ-NSE","Last_Time")</f>
        <v>#NAME?</v>
      </c>
      <c r="K125" s="2" t="e">
        <f ca="1">_xll.ESQuote("AUSTRAL.EQ-NSE","Low")</f>
        <v>#NAME?</v>
      </c>
      <c r="L125" s="2" t="e">
        <f ca="1">_xll.ESQuote("AUSTRAL.EQ-NSE","Open")</f>
        <v>#NAME?</v>
      </c>
      <c r="M125" s="2" t="e">
        <f ca="1">_xll.ESQuote("AUSTRAL.EQ-NSE","PrevPrice")</f>
        <v>#NAME?</v>
      </c>
      <c r="N125" s="2" t="e">
        <f ca="1">_xll.ESQuote("AUSTRAL.EQ-NSE","Symbol")</f>
        <v>#NAME?</v>
      </c>
      <c r="O125" s="2" t="e">
        <f ca="1">_xll.ESQuote("AUSTRAL.EQ-NSE","Volume")</f>
        <v>#NAME?</v>
      </c>
    </row>
    <row r="126" spans="1:15" x14ac:dyDescent="0.25">
      <c r="A126" s="1" t="s">
        <v>138</v>
      </c>
      <c r="B126" s="2" t="e">
        <f ca="1">_xll.ESQuote("AUTOAXLES.EQ-NSE","% Change")</f>
        <v>#NAME?</v>
      </c>
      <c r="C126" s="2" t="e">
        <f ca="1">_xll.ESQuote("AUTOAXLES.EQ-NSE","Change")</f>
        <v>#NAME?</v>
      </c>
      <c r="D126" s="2" t="e">
        <f ca="1">_xll.ESQuote("AUTOAXLES.EQ-NSE","Close")</f>
        <v>#NAME?</v>
      </c>
      <c r="E126" s="2" t="e">
        <f ca="1">_xll.ESQuote("AUTOAXLES.EQ-NSE","Company")</f>
        <v>#NAME?</v>
      </c>
      <c r="F126" s="2" t="e">
        <f ca="1">_xll.ESQuote("AUTOAXLES.EQ-NSE","Description")</f>
        <v>#NAME?</v>
      </c>
      <c r="G126" s="2" t="e">
        <f ca="1">_xll.ESQuote("AUTOAXLES.EQ-NSE","Exchange")</f>
        <v>#NAME?</v>
      </c>
      <c r="H126" s="2" t="e">
        <f ca="1">_xll.ESQuote("AUTOAXLES.EQ-NSE","High")</f>
        <v>#NAME?</v>
      </c>
      <c r="I126" s="2" t="e">
        <f ca="1">_xll.ESQuote("AUTOAXLES.EQ-NSE","Last")</f>
        <v>#NAME?</v>
      </c>
      <c r="J126" s="4" t="e">
        <f ca="1">_xll.ESQuote("AUTOAXLES.EQ-NSE","Last_Time")</f>
        <v>#NAME?</v>
      </c>
      <c r="K126" s="2" t="e">
        <f ca="1">_xll.ESQuote("AUTOAXLES.EQ-NSE","Low")</f>
        <v>#NAME?</v>
      </c>
      <c r="L126" s="2" t="e">
        <f ca="1">_xll.ESQuote("AUTOAXLES.EQ-NSE","Open")</f>
        <v>#NAME?</v>
      </c>
      <c r="M126" s="2" t="e">
        <f ca="1">_xll.ESQuote("AUTOAXLES.EQ-NSE","PrevPrice")</f>
        <v>#NAME?</v>
      </c>
      <c r="N126" s="2" t="e">
        <f ca="1">_xll.ESQuote("AUTOAXLES.EQ-NSE","Symbol")</f>
        <v>#NAME?</v>
      </c>
      <c r="O126" s="2" t="e">
        <f ca="1">_xll.ESQuote("AUTOAXLES.EQ-NSE","Volume")</f>
        <v>#NAME?</v>
      </c>
    </row>
    <row r="127" spans="1:15" x14ac:dyDescent="0.25">
      <c r="A127" s="1" t="s">
        <v>139</v>
      </c>
      <c r="B127" s="2" t="e">
        <f ca="1">_xll.ESQuote("AUTOIND.EQ-NSE","% Change")</f>
        <v>#NAME?</v>
      </c>
      <c r="C127" s="2" t="e">
        <f ca="1">_xll.ESQuote("AUTOIND.EQ-NSE","Change")</f>
        <v>#NAME?</v>
      </c>
      <c r="D127" s="2" t="e">
        <f ca="1">_xll.ESQuote("AUTOIND.EQ-NSE","Close")</f>
        <v>#NAME?</v>
      </c>
      <c r="E127" s="2" t="e">
        <f ca="1">_xll.ESQuote("AUTOIND.EQ-NSE","Company")</f>
        <v>#NAME?</v>
      </c>
      <c r="F127" s="2" t="e">
        <f ca="1">_xll.ESQuote("AUTOIND.EQ-NSE","Description")</f>
        <v>#NAME?</v>
      </c>
      <c r="G127" s="2" t="e">
        <f ca="1">_xll.ESQuote("AUTOIND.EQ-NSE","Exchange")</f>
        <v>#NAME?</v>
      </c>
      <c r="H127" s="2" t="e">
        <f ca="1">_xll.ESQuote("AUTOIND.EQ-NSE","High")</f>
        <v>#NAME?</v>
      </c>
      <c r="I127" s="2" t="e">
        <f ca="1">_xll.ESQuote("AUTOIND.EQ-NSE","Last")</f>
        <v>#NAME?</v>
      </c>
      <c r="J127" s="4" t="e">
        <f ca="1">_xll.ESQuote("AUTOIND.EQ-NSE","Last_Time")</f>
        <v>#NAME?</v>
      </c>
      <c r="K127" s="2" t="e">
        <f ca="1">_xll.ESQuote("AUTOIND.EQ-NSE","Low")</f>
        <v>#NAME?</v>
      </c>
      <c r="L127" s="2" t="e">
        <f ca="1">_xll.ESQuote("AUTOIND.EQ-NSE","Open")</f>
        <v>#NAME?</v>
      </c>
      <c r="M127" s="2" t="e">
        <f ca="1">_xll.ESQuote("AUTOIND.EQ-NSE","PrevPrice")</f>
        <v>#NAME?</v>
      </c>
      <c r="N127" s="2" t="e">
        <f ca="1">_xll.ESQuote("AUTOIND.EQ-NSE","Symbol")</f>
        <v>#NAME?</v>
      </c>
      <c r="O127" s="2" t="e">
        <f ca="1">_xll.ESQuote("AUTOIND.EQ-NSE","Volume")</f>
        <v>#NAME?</v>
      </c>
    </row>
    <row r="128" spans="1:15" x14ac:dyDescent="0.25">
      <c r="A128" s="1" t="s">
        <v>140</v>
      </c>
      <c r="B128" s="2" t="e">
        <f ca="1">_xll.ESQuote("AUTOLITIND.EQ-NSE","% Change")</f>
        <v>#NAME?</v>
      </c>
      <c r="C128" s="2" t="e">
        <f ca="1">_xll.ESQuote("AUTOLITIND.EQ-NSE","Change")</f>
        <v>#NAME?</v>
      </c>
      <c r="D128" s="2" t="e">
        <f ca="1">_xll.ESQuote("AUTOLITIND.EQ-NSE","Close")</f>
        <v>#NAME?</v>
      </c>
      <c r="E128" s="2" t="e">
        <f ca="1">_xll.ESQuote("AUTOLITIND.EQ-NSE","Company")</f>
        <v>#NAME?</v>
      </c>
      <c r="F128" s="2" t="e">
        <f ca="1">_xll.ESQuote("AUTOLITIND.EQ-NSE","Description")</f>
        <v>#NAME?</v>
      </c>
      <c r="G128" s="2" t="e">
        <f ca="1">_xll.ESQuote("AUTOLITIND.EQ-NSE","Exchange")</f>
        <v>#NAME?</v>
      </c>
      <c r="H128" s="2" t="e">
        <f ca="1">_xll.ESQuote("AUTOLITIND.EQ-NSE","High")</f>
        <v>#NAME?</v>
      </c>
      <c r="I128" s="2" t="e">
        <f ca="1">_xll.ESQuote("AUTOLITIND.EQ-NSE","Last")</f>
        <v>#NAME?</v>
      </c>
      <c r="J128" s="4" t="e">
        <f ca="1">_xll.ESQuote("AUTOLITIND.EQ-NSE","Last_Time")</f>
        <v>#NAME?</v>
      </c>
      <c r="K128" s="2" t="e">
        <f ca="1">_xll.ESQuote("AUTOLITIND.EQ-NSE","Low")</f>
        <v>#NAME?</v>
      </c>
      <c r="L128" s="2" t="e">
        <f ca="1">_xll.ESQuote("AUTOLITIND.EQ-NSE","Open")</f>
        <v>#NAME?</v>
      </c>
      <c r="M128" s="2" t="e">
        <f ca="1">_xll.ESQuote("AUTOLITIND.EQ-NSE","PrevPrice")</f>
        <v>#NAME?</v>
      </c>
      <c r="N128" s="2" t="e">
        <f ca="1">_xll.ESQuote("AUTOLITIND.EQ-NSE","Symbol")</f>
        <v>#NAME?</v>
      </c>
      <c r="O128" s="2" t="e">
        <f ca="1">_xll.ESQuote("AUTOLITIND.EQ-NSE","Volume")</f>
        <v>#NAME?</v>
      </c>
    </row>
    <row r="129" spans="1:15" x14ac:dyDescent="0.25">
      <c r="A129" s="1" t="s">
        <v>141</v>
      </c>
      <c r="B129" s="2" t="e">
        <f ca="1">_xll.ESQuote("AVANTIFEED.EQ-NSE","% Change")</f>
        <v>#NAME?</v>
      </c>
      <c r="C129" s="2" t="e">
        <f ca="1">_xll.ESQuote("AVANTIFEED.EQ-NSE","Change")</f>
        <v>#NAME?</v>
      </c>
      <c r="D129" s="2" t="e">
        <f ca="1">_xll.ESQuote("AVANTIFEED.EQ-NSE","Close")</f>
        <v>#NAME?</v>
      </c>
      <c r="E129" s="2" t="e">
        <f ca="1">_xll.ESQuote("AVANTIFEED.EQ-NSE","Company")</f>
        <v>#NAME?</v>
      </c>
      <c r="F129" s="2" t="e">
        <f ca="1">_xll.ESQuote("AVANTIFEED.EQ-NSE","Description")</f>
        <v>#NAME?</v>
      </c>
      <c r="G129" s="2" t="e">
        <f ca="1">_xll.ESQuote("AVANTIFEED.EQ-NSE","Exchange")</f>
        <v>#NAME?</v>
      </c>
      <c r="H129" s="2" t="e">
        <f ca="1">_xll.ESQuote("AVANTIFEED.EQ-NSE","High")</f>
        <v>#NAME?</v>
      </c>
      <c r="I129" s="2" t="e">
        <f ca="1">_xll.ESQuote("AVANTIFEED.EQ-NSE","Last")</f>
        <v>#NAME?</v>
      </c>
      <c r="J129" s="4" t="e">
        <f ca="1">_xll.ESQuote("AVANTIFEED.EQ-NSE","Last_Time")</f>
        <v>#NAME?</v>
      </c>
      <c r="K129" s="2" t="e">
        <f ca="1">_xll.ESQuote("AVANTIFEED.EQ-NSE","Low")</f>
        <v>#NAME?</v>
      </c>
      <c r="L129" s="2" t="e">
        <f ca="1">_xll.ESQuote("AVANTIFEED.EQ-NSE","Open")</f>
        <v>#NAME?</v>
      </c>
      <c r="M129" s="2" t="e">
        <f ca="1">_xll.ESQuote("AVANTIFEED.EQ-NSE","PrevPrice")</f>
        <v>#NAME?</v>
      </c>
      <c r="N129" s="2" t="e">
        <f ca="1">_xll.ESQuote("AVANTIFEED.EQ-NSE","Symbol")</f>
        <v>#NAME?</v>
      </c>
      <c r="O129" s="2" t="e">
        <f ca="1">_xll.ESQuote("AVANTIFEED.EQ-NSE","Volume")</f>
        <v>#NAME?</v>
      </c>
    </row>
    <row r="130" spans="1:15" x14ac:dyDescent="0.25">
      <c r="A130" s="1" t="s">
        <v>142</v>
      </c>
      <c r="B130" s="2" t="e">
        <f ca="1">_xll.ESQuote("AVTNPL.EQ-NSE","% Change")</f>
        <v>#NAME?</v>
      </c>
      <c r="C130" s="2" t="e">
        <f ca="1">_xll.ESQuote("AVTNPL.EQ-NSE","Change")</f>
        <v>#NAME?</v>
      </c>
      <c r="D130" s="2" t="e">
        <f ca="1">_xll.ESQuote("AVTNPL.EQ-NSE","Close")</f>
        <v>#NAME?</v>
      </c>
      <c r="E130" s="2" t="e">
        <f ca="1">_xll.ESQuote("AVTNPL.EQ-NSE","Company")</f>
        <v>#NAME?</v>
      </c>
      <c r="F130" s="2" t="e">
        <f ca="1">_xll.ESQuote("AVTNPL.EQ-NSE","Description")</f>
        <v>#NAME?</v>
      </c>
      <c r="G130" s="2" t="e">
        <f ca="1">_xll.ESQuote("AVTNPL.EQ-NSE","Exchange")</f>
        <v>#NAME?</v>
      </c>
      <c r="H130" s="2" t="e">
        <f ca="1">_xll.ESQuote("AVTNPL.EQ-NSE","High")</f>
        <v>#NAME?</v>
      </c>
      <c r="I130" s="2" t="e">
        <f ca="1">_xll.ESQuote("AVTNPL.EQ-NSE","Last")</f>
        <v>#NAME?</v>
      </c>
      <c r="J130" s="4" t="e">
        <f ca="1">_xll.ESQuote("AVTNPL.EQ-NSE","Last_Time")</f>
        <v>#NAME?</v>
      </c>
      <c r="K130" s="2" t="e">
        <f ca="1">_xll.ESQuote("AVTNPL.EQ-NSE","Low")</f>
        <v>#NAME?</v>
      </c>
      <c r="L130" s="2" t="e">
        <f ca="1">_xll.ESQuote("AVTNPL.EQ-NSE","Open")</f>
        <v>#NAME?</v>
      </c>
      <c r="M130" s="2" t="e">
        <f ca="1">_xll.ESQuote("AVTNPL.EQ-NSE","PrevPrice")</f>
        <v>#NAME?</v>
      </c>
      <c r="N130" s="2" t="e">
        <f ca="1">_xll.ESQuote("AVTNPL.EQ-NSE","Symbol")</f>
        <v>#NAME?</v>
      </c>
      <c r="O130" s="2" t="e">
        <f ca="1">_xll.ESQuote("AVTNPL.EQ-NSE","Volume")</f>
        <v>#NAME?</v>
      </c>
    </row>
    <row r="131" spans="1:15" x14ac:dyDescent="0.25">
      <c r="A131" s="1" t="s">
        <v>143</v>
      </c>
      <c r="B131" s="2" t="e">
        <f ca="1">_xll.ESQuote("AXISBANK.EQ-NSE","% Change")</f>
        <v>#NAME?</v>
      </c>
      <c r="C131" s="2" t="e">
        <f ca="1">_xll.ESQuote("AXISBANK.EQ-NSE","Change")</f>
        <v>#NAME?</v>
      </c>
      <c r="D131" s="2" t="e">
        <f ca="1">_xll.ESQuote("AXISBANK.EQ-NSE","Close")</f>
        <v>#NAME?</v>
      </c>
      <c r="E131" s="2" t="e">
        <f ca="1">_xll.ESQuote("AXISBANK.EQ-NSE","Company")</f>
        <v>#NAME?</v>
      </c>
      <c r="F131" s="2" t="e">
        <f ca="1">_xll.ESQuote("AXISBANK.EQ-NSE","Description")</f>
        <v>#NAME?</v>
      </c>
      <c r="G131" s="2" t="e">
        <f ca="1">_xll.ESQuote("AXISBANK.EQ-NSE","Exchange")</f>
        <v>#NAME?</v>
      </c>
      <c r="H131" s="2" t="e">
        <f ca="1">_xll.ESQuote("AXISBANK.EQ-NSE","High")</f>
        <v>#NAME?</v>
      </c>
      <c r="I131" s="2" t="e">
        <f ca="1">_xll.ESQuote("AXISBANK.EQ-NSE","Last")</f>
        <v>#NAME?</v>
      </c>
      <c r="J131" s="4" t="e">
        <f ca="1">_xll.ESQuote("AXISBANK.EQ-NSE","Last_Time")</f>
        <v>#NAME?</v>
      </c>
      <c r="K131" s="2" t="e">
        <f ca="1">_xll.ESQuote("AXISBANK.EQ-NSE","Low")</f>
        <v>#NAME?</v>
      </c>
      <c r="L131" s="2" t="e">
        <f ca="1">_xll.ESQuote("AXISBANK.EQ-NSE","Open")</f>
        <v>#NAME?</v>
      </c>
      <c r="M131" s="2" t="e">
        <f ca="1">_xll.ESQuote("AXISBANK.EQ-NSE","PrevPrice")</f>
        <v>#NAME?</v>
      </c>
      <c r="N131" s="2" t="e">
        <f ca="1">_xll.ESQuote("AXISBANK.EQ-NSE","Symbol")</f>
        <v>#NAME?</v>
      </c>
      <c r="O131" s="2" t="e">
        <f ca="1">_xll.ESQuote("AXISBANK.EQ-NSE","Volume")</f>
        <v>#NAME?</v>
      </c>
    </row>
    <row r="132" spans="1:15" x14ac:dyDescent="0.25">
      <c r="A132" s="1" t="s">
        <v>144</v>
      </c>
      <c r="B132" s="2" t="e">
        <f ca="1">_xll.ESQuote("AXISCADES.EQ-NSE","% Change")</f>
        <v>#NAME?</v>
      </c>
      <c r="C132" s="2" t="e">
        <f ca="1">_xll.ESQuote("AXISCADES.EQ-NSE","Change")</f>
        <v>#NAME?</v>
      </c>
      <c r="D132" s="2" t="e">
        <f ca="1">_xll.ESQuote("AXISCADES.EQ-NSE","Close")</f>
        <v>#NAME?</v>
      </c>
      <c r="E132" s="2" t="e">
        <f ca="1">_xll.ESQuote("AXISCADES.EQ-NSE","Company")</f>
        <v>#NAME?</v>
      </c>
      <c r="F132" s="2" t="e">
        <f ca="1">_xll.ESQuote("AXISCADES.EQ-NSE","Description")</f>
        <v>#NAME?</v>
      </c>
      <c r="G132" s="2" t="e">
        <f ca="1">_xll.ESQuote("AXISCADES.EQ-NSE","Exchange")</f>
        <v>#NAME?</v>
      </c>
      <c r="H132" s="2" t="e">
        <f ca="1">_xll.ESQuote("AXISCADES.EQ-NSE","High")</f>
        <v>#NAME?</v>
      </c>
      <c r="I132" s="2" t="e">
        <f ca="1">_xll.ESQuote("AXISCADES.EQ-NSE","Last")</f>
        <v>#NAME?</v>
      </c>
      <c r="J132" s="4" t="e">
        <f ca="1">_xll.ESQuote("AXISCADES.EQ-NSE","Last_Time")</f>
        <v>#NAME?</v>
      </c>
      <c r="K132" s="2" t="e">
        <f ca="1">_xll.ESQuote("AXISCADES.EQ-NSE","Low")</f>
        <v>#NAME?</v>
      </c>
      <c r="L132" s="2" t="e">
        <f ca="1">_xll.ESQuote("AXISCADES.EQ-NSE","Open")</f>
        <v>#NAME?</v>
      </c>
      <c r="M132" s="2" t="e">
        <f ca="1">_xll.ESQuote("AXISCADES.EQ-NSE","PrevPrice")</f>
        <v>#NAME?</v>
      </c>
      <c r="N132" s="2" t="e">
        <f ca="1">_xll.ESQuote("AXISCADES.EQ-NSE","Symbol")</f>
        <v>#NAME?</v>
      </c>
      <c r="O132" s="2" t="e">
        <f ca="1">_xll.ESQuote("AXISCADES.EQ-NSE","Volume")</f>
        <v>#NAME?</v>
      </c>
    </row>
    <row r="133" spans="1:15" x14ac:dyDescent="0.25">
      <c r="A133" s="1" t="s">
        <v>145</v>
      </c>
      <c r="B133" s="2" t="e">
        <f ca="1">_xll.ESQuote("BAFNAPHARM.EQ-NSE","% Change")</f>
        <v>#NAME?</v>
      </c>
      <c r="C133" s="2" t="e">
        <f ca="1">_xll.ESQuote("BAFNAPHARM.EQ-NSE","Change")</f>
        <v>#NAME?</v>
      </c>
      <c r="D133" s="2" t="e">
        <f ca="1">_xll.ESQuote("BAFNAPHARM.EQ-NSE","Close")</f>
        <v>#NAME?</v>
      </c>
      <c r="E133" s="2" t="e">
        <f ca="1">_xll.ESQuote("BAFNAPHARM.EQ-NSE","Company")</f>
        <v>#NAME?</v>
      </c>
      <c r="F133" s="2" t="e">
        <f ca="1">_xll.ESQuote("BAFNAPHARM.EQ-NSE","Description")</f>
        <v>#NAME?</v>
      </c>
      <c r="G133" s="2" t="e">
        <f ca="1">_xll.ESQuote("BAFNAPHARM.EQ-NSE","Exchange")</f>
        <v>#NAME?</v>
      </c>
      <c r="H133" s="2" t="e">
        <f ca="1">_xll.ESQuote("BAFNAPHARM.EQ-NSE","High")</f>
        <v>#NAME?</v>
      </c>
      <c r="I133" s="2" t="e">
        <f ca="1">_xll.ESQuote("BAFNAPHARM.EQ-NSE","Last")</f>
        <v>#NAME?</v>
      </c>
      <c r="J133" s="4" t="e">
        <f ca="1">_xll.ESQuote("BAFNAPHARM.EQ-NSE","Last_Time")</f>
        <v>#NAME?</v>
      </c>
      <c r="K133" s="2" t="e">
        <f ca="1">_xll.ESQuote("BAFNAPHARM.EQ-NSE","Low")</f>
        <v>#NAME?</v>
      </c>
      <c r="L133" s="2" t="e">
        <f ca="1">_xll.ESQuote("BAFNAPHARM.EQ-NSE","Open")</f>
        <v>#NAME?</v>
      </c>
      <c r="M133" s="2" t="e">
        <f ca="1">_xll.ESQuote("BAFNAPHARM.EQ-NSE","PrevPrice")</f>
        <v>#NAME?</v>
      </c>
      <c r="N133" s="2" t="e">
        <f ca="1">_xll.ESQuote("BAFNAPHARM.EQ-NSE","Symbol")</f>
        <v>#NAME?</v>
      </c>
      <c r="O133" s="2" t="e">
        <f ca="1">_xll.ESQuote("BAFNAPHARM.EQ-NSE","Volume")</f>
        <v>#NAME?</v>
      </c>
    </row>
    <row r="134" spans="1:15" x14ac:dyDescent="0.25">
      <c r="A134" s="1" t="s">
        <v>146</v>
      </c>
      <c r="B134" s="2" t="e">
        <f ca="1">_xll.ESQuote("BAGFILMS.EQ-NSE","% Change")</f>
        <v>#NAME?</v>
      </c>
      <c r="C134" s="2" t="e">
        <f ca="1">_xll.ESQuote("BAGFILMS.EQ-NSE","Change")</f>
        <v>#NAME?</v>
      </c>
      <c r="D134" s="2" t="e">
        <f ca="1">_xll.ESQuote("BAGFILMS.EQ-NSE","Close")</f>
        <v>#NAME?</v>
      </c>
      <c r="E134" s="2" t="e">
        <f ca="1">_xll.ESQuote("BAGFILMS.EQ-NSE","Company")</f>
        <v>#NAME?</v>
      </c>
      <c r="F134" s="2" t="e">
        <f ca="1">_xll.ESQuote("BAGFILMS.EQ-NSE","Description")</f>
        <v>#NAME?</v>
      </c>
      <c r="G134" s="2" t="e">
        <f ca="1">_xll.ESQuote("BAGFILMS.EQ-NSE","Exchange")</f>
        <v>#NAME?</v>
      </c>
      <c r="H134" s="2" t="e">
        <f ca="1">_xll.ESQuote("BAGFILMS.EQ-NSE","High")</f>
        <v>#NAME?</v>
      </c>
      <c r="I134" s="2" t="e">
        <f ca="1">_xll.ESQuote("BAGFILMS.EQ-NSE","Last")</f>
        <v>#NAME?</v>
      </c>
      <c r="J134" s="4" t="e">
        <f ca="1">_xll.ESQuote("BAGFILMS.EQ-NSE","Last_Time")</f>
        <v>#NAME?</v>
      </c>
      <c r="K134" s="2" t="e">
        <f ca="1">_xll.ESQuote("BAGFILMS.EQ-NSE","Low")</f>
        <v>#NAME?</v>
      </c>
      <c r="L134" s="2" t="e">
        <f ca="1">_xll.ESQuote("BAGFILMS.EQ-NSE","Open")</f>
        <v>#NAME?</v>
      </c>
      <c r="M134" s="2" t="e">
        <f ca="1">_xll.ESQuote("BAGFILMS.EQ-NSE","PrevPrice")</f>
        <v>#NAME?</v>
      </c>
      <c r="N134" s="2" t="e">
        <f ca="1">_xll.ESQuote("BAGFILMS.EQ-NSE","Symbol")</f>
        <v>#NAME?</v>
      </c>
      <c r="O134" s="2" t="e">
        <f ca="1">_xll.ESQuote("BAGFILMS.EQ-NSE","Volume")</f>
        <v>#NAME?</v>
      </c>
    </row>
    <row r="135" spans="1:15" x14ac:dyDescent="0.25">
      <c r="A135" s="1" t="s">
        <v>147</v>
      </c>
      <c r="B135" s="2" t="e">
        <f ca="1">_xll.ESQuote("BAJAJ-AUTO.EQ-NSE","% Change")</f>
        <v>#NAME?</v>
      </c>
      <c r="C135" s="2" t="e">
        <f ca="1">_xll.ESQuote("BAJAJ-AUTO.EQ-NSE","Change")</f>
        <v>#NAME?</v>
      </c>
      <c r="D135" s="2" t="e">
        <f ca="1">_xll.ESQuote("BAJAJ-AUTO.EQ-NSE","Close")</f>
        <v>#NAME?</v>
      </c>
      <c r="E135" s="2" t="e">
        <f ca="1">_xll.ESQuote("BAJAJ-AUTO.EQ-NSE","Company")</f>
        <v>#NAME?</v>
      </c>
      <c r="F135" s="2" t="e">
        <f ca="1">_xll.ESQuote("BAJAJ-AUTO.EQ-NSE","Description")</f>
        <v>#NAME?</v>
      </c>
      <c r="G135" s="2" t="e">
        <f ca="1">_xll.ESQuote("BAJAJ-AUTO.EQ-NSE","Exchange")</f>
        <v>#NAME?</v>
      </c>
      <c r="H135" s="2" t="e">
        <f ca="1">_xll.ESQuote("BAJAJ-AUTO.EQ-NSE","High")</f>
        <v>#NAME?</v>
      </c>
      <c r="I135" s="2" t="e">
        <f ca="1">_xll.ESQuote("BAJAJ-AUTO.EQ-NSE","Last")</f>
        <v>#NAME?</v>
      </c>
      <c r="J135" s="4" t="e">
        <f ca="1">_xll.ESQuote("BAJAJ-AUTO.EQ-NSE","Last_Time")</f>
        <v>#NAME?</v>
      </c>
      <c r="K135" s="2" t="e">
        <f ca="1">_xll.ESQuote("BAJAJ-AUTO.EQ-NSE","Low")</f>
        <v>#NAME?</v>
      </c>
      <c r="L135" s="2" t="e">
        <f ca="1">_xll.ESQuote("BAJAJ-AUTO.EQ-NSE","Open")</f>
        <v>#NAME?</v>
      </c>
      <c r="M135" s="2" t="e">
        <f ca="1">_xll.ESQuote("BAJAJ-AUTO.EQ-NSE","PrevPrice")</f>
        <v>#NAME?</v>
      </c>
      <c r="N135" s="2" t="e">
        <f ca="1">_xll.ESQuote("BAJAJ-AUTO.EQ-NSE","Symbol")</f>
        <v>#NAME?</v>
      </c>
      <c r="O135" s="2" t="e">
        <f ca="1">_xll.ESQuote("BAJAJ-AUTO.EQ-NSE","Volume")</f>
        <v>#NAME?</v>
      </c>
    </row>
    <row r="136" spans="1:15" x14ac:dyDescent="0.25">
      <c r="A136" s="1" t="s">
        <v>148</v>
      </c>
      <c r="B136" s="2" t="e">
        <f ca="1">_xll.ESQuote("BAJAJCORP.EQ-NSE","% Change")</f>
        <v>#NAME?</v>
      </c>
      <c r="C136" s="2" t="e">
        <f ca="1">_xll.ESQuote("BAJAJCORP.EQ-NSE","Change")</f>
        <v>#NAME?</v>
      </c>
      <c r="D136" s="2" t="e">
        <f ca="1">_xll.ESQuote("BAJAJCORP.EQ-NSE","Close")</f>
        <v>#NAME?</v>
      </c>
      <c r="E136" s="2" t="e">
        <f ca="1">_xll.ESQuote("BAJAJCORP.EQ-NSE","Company")</f>
        <v>#NAME?</v>
      </c>
      <c r="F136" s="2" t="e">
        <f ca="1">_xll.ESQuote("BAJAJCORP.EQ-NSE","Description")</f>
        <v>#NAME?</v>
      </c>
      <c r="G136" s="2" t="e">
        <f ca="1">_xll.ESQuote("BAJAJCORP.EQ-NSE","Exchange")</f>
        <v>#NAME?</v>
      </c>
      <c r="H136" s="2" t="e">
        <f ca="1">_xll.ESQuote("BAJAJCORP.EQ-NSE","High")</f>
        <v>#NAME?</v>
      </c>
      <c r="I136" s="2" t="e">
        <f ca="1">_xll.ESQuote("BAJAJCORP.EQ-NSE","Last")</f>
        <v>#NAME?</v>
      </c>
      <c r="J136" s="4" t="e">
        <f ca="1">_xll.ESQuote("BAJAJCORP.EQ-NSE","Last_Time")</f>
        <v>#NAME?</v>
      </c>
      <c r="K136" s="2" t="e">
        <f ca="1">_xll.ESQuote("BAJAJCORP.EQ-NSE","Low")</f>
        <v>#NAME?</v>
      </c>
      <c r="L136" s="2" t="e">
        <f ca="1">_xll.ESQuote("BAJAJCORP.EQ-NSE","Open")</f>
        <v>#NAME?</v>
      </c>
      <c r="M136" s="2" t="e">
        <f ca="1">_xll.ESQuote("BAJAJCORP.EQ-NSE","PrevPrice")</f>
        <v>#NAME?</v>
      </c>
      <c r="N136" s="2" t="e">
        <f ca="1">_xll.ESQuote("BAJAJCORP.EQ-NSE","Symbol")</f>
        <v>#NAME?</v>
      </c>
      <c r="O136" s="2" t="e">
        <f ca="1">_xll.ESQuote("BAJAJCORP.EQ-NSE","Volume")</f>
        <v>#NAME?</v>
      </c>
    </row>
    <row r="137" spans="1:15" x14ac:dyDescent="0.25">
      <c r="A137" s="1" t="s">
        <v>149</v>
      </c>
      <c r="B137" s="2" t="e">
        <f ca="1">_xll.ESQuote("BAJAJELEC.EQ-NSE","% Change")</f>
        <v>#NAME?</v>
      </c>
      <c r="C137" s="2" t="e">
        <f ca="1">_xll.ESQuote("BAJAJELEC.EQ-NSE","Change")</f>
        <v>#NAME?</v>
      </c>
      <c r="D137" s="2" t="e">
        <f ca="1">_xll.ESQuote("BAJAJELEC.EQ-NSE","Close")</f>
        <v>#NAME?</v>
      </c>
      <c r="E137" s="2" t="e">
        <f ca="1">_xll.ESQuote("BAJAJELEC.EQ-NSE","Company")</f>
        <v>#NAME?</v>
      </c>
      <c r="F137" s="2" t="e">
        <f ca="1">_xll.ESQuote("BAJAJELEC.EQ-NSE","Description")</f>
        <v>#NAME?</v>
      </c>
      <c r="G137" s="2" t="e">
        <f ca="1">_xll.ESQuote("BAJAJELEC.EQ-NSE","Exchange")</f>
        <v>#NAME?</v>
      </c>
      <c r="H137" s="2" t="e">
        <f ca="1">_xll.ESQuote("BAJAJELEC.EQ-NSE","High")</f>
        <v>#NAME?</v>
      </c>
      <c r="I137" s="2" t="e">
        <f ca="1">_xll.ESQuote("BAJAJELEC.EQ-NSE","Last")</f>
        <v>#NAME?</v>
      </c>
      <c r="J137" s="4" t="e">
        <f ca="1">_xll.ESQuote("BAJAJELEC.EQ-NSE","Last_Time")</f>
        <v>#NAME?</v>
      </c>
      <c r="K137" s="2" t="e">
        <f ca="1">_xll.ESQuote("BAJAJELEC.EQ-NSE","Low")</f>
        <v>#NAME?</v>
      </c>
      <c r="L137" s="2" t="e">
        <f ca="1">_xll.ESQuote("BAJAJELEC.EQ-NSE","Open")</f>
        <v>#NAME?</v>
      </c>
      <c r="M137" s="2" t="e">
        <f ca="1">_xll.ESQuote("BAJAJELEC.EQ-NSE","PrevPrice")</f>
        <v>#NAME?</v>
      </c>
      <c r="N137" s="2" t="e">
        <f ca="1">_xll.ESQuote("BAJAJELEC.EQ-NSE","Symbol")</f>
        <v>#NAME?</v>
      </c>
      <c r="O137" s="2" t="e">
        <f ca="1">_xll.ESQuote("BAJAJELEC.EQ-NSE","Volume")</f>
        <v>#NAME?</v>
      </c>
    </row>
    <row r="138" spans="1:15" x14ac:dyDescent="0.25">
      <c r="A138" s="1" t="s">
        <v>150</v>
      </c>
      <c r="B138" s="2" t="e">
        <f ca="1">_xll.ESQuote("BAJAJFINSV.EQ-NSE","% Change")</f>
        <v>#NAME?</v>
      </c>
      <c r="C138" s="2" t="e">
        <f ca="1">_xll.ESQuote("BAJAJFINSV.EQ-NSE","Change")</f>
        <v>#NAME?</v>
      </c>
      <c r="D138" s="2" t="e">
        <f ca="1">_xll.ESQuote("BAJAJFINSV.EQ-NSE","Close")</f>
        <v>#NAME?</v>
      </c>
      <c r="E138" s="2" t="e">
        <f ca="1">_xll.ESQuote("BAJAJFINSV.EQ-NSE","Company")</f>
        <v>#NAME?</v>
      </c>
      <c r="F138" s="2" t="e">
        <f ca="1">_xll.ESQuote("BAJAJFINSV.EQ-NSE","Description")</f>
        <v>#NAME?</v>
      </c>
      <c r="G138" s="2" t="e">
        <f ca="1">_xll.ESQuote("BAJAJFINSV.EQ-NSE","Exchange")</f>
        <v>#NAME?</v>
      </c>
      <c r="H138" s="2" t="e">
        <f ca="1">_xll.ESQuote("BAJAJFINSV.EQ-NSE","High")</f>
        <v>#NAME?</v>
      </c>
      <c r="I138" s="2" t="e">
        <f ca="1">_xll.ESQuote("BAJAJFINSV.EQ-NSE","Last")</f>
        <v>#NAME?</v>
      </c>
      <c r="J138" s="4" t="e">
        <f ca="1">_xll.ESQuote("BAJAJFINSV.EQ-NSE","Last_Time")</f>
        <v>#NAME?</v>
      </c>
      <c r="K138" s="2" t="e">
        <f ca="1">_xll.ESQuote("BAJAJFINSV.EQ-NSE","Low")</f>
        <v>#NAME?</v>
      </c>
      <c r="L138" s="2" t="e">
        <f ca="1">_xll.ESQuote("BAJAJFINSV.EQ-NSE","Open")</f>
        <v>#NAME?</v>
      </c>
      <c r="M138" s="2" t="e">
        <f ca="1">_xll.ESQuote("BAJAJFINSV.EQ-NSE","PrevPrice")</f>
        <v>#NAME?</v>
      </c>
      <c r="N138" s="2" t="e">
        <f ca="1">_xll.ESQuote("BAJAJFINSV.EQ-NSE","Symbol")</f>
        <v>#NAME?</v>
      </c>
      <c r="O138" s="2" t="e">
        <f ca="1">_xll.ESQuote("BAJAJFINSV.EQ-NSE","Volume")</f>
        <v>#NAME?</v>
      </c>
    </row>
    <row r="139" spans="1:15" x14ac:dyDescent="0.25">
      <c r="A139" s="1" t="s">
        <v>151</v>
      </c>
      <c r="B139" s="2" t="e">
        <f ca="1">_xll.ESQuote("BAJAJHIND.EQ-NSE","% Change")</f>
        <v>#NAME?</v>
      </c>
      <c r="C139" s="2" t="e">
        <f ca="1">_xll.ESQuote("BAJAJHIND.EQ-NSE","Change")</f>
        <v>#NAME?</v>
      </c>
      <c r="D139" s="2" t="e">
        <f ca="1">_xll.ESQuote("BAJAJHIND.EQ-NSE","Close")</f>
        <v>#NAME?</v>
      </c>
      <c r="E139" s="2" t="e">
        <f ca="1">_xll.ESQuote("BAJAJHIND.EQ-NSE","Company")</f>
        <v>#NAME?</v>
      </c>
      <c r="F139" s="2" t="e">
        <f ca="1">_xll.ESQuote("BAJAJHIND.EQ-NSE","Description")</f>
        <v>#NAME?</v>
      </c>
      <c r="G139" s="2" t="e">
        <f ca="1">_xll.ESQuote("BAJAJHIND.EQ-NSE","Exchange")</f>
        <v>#NAME?</v>
      </c>
      <c r="H139" s="2" t="e">
        <f ca="1">_xll.ESQuote("BAJAJHIND.EQ-NSE","High")</f>
        <v>#NAME?</v>
      </c>
      <c r="I139" s="2" t="e">
        <f ca="1">_xll.ESQuote("BAJAJHIND.EQ-NSE","Last")</f>
        <v>#NAME?</v>
      </c>
      <c r="J139" s="4" t="e">
        <f ca="1">_xll.ESQuote("BAJAJHIND.EQ-NSE","Last_Time")</f>
        <v>#NAME?</v>
      </c>
      <c r="K139" s="2" t="e">
        <f ca="1">_xll.ESQuote("BAJAJHIND.EQ-NSE","Low")</f>
        <v>#NAME?</v>
      </c>
      <c r="L139" s="2" t="e">
        <f ca="1">_xll.ESQuote("BAJAJHIND.EQ-NSE","Open")</f>
        <v>#NAME?</v>
      </c>
      <c r="M139" s="2" t="e">
        <f ca="1">_xll.ESQuote("BAJAJHIND.EQ-NSE","PrevPrice")</f>
        <v>#NAME?</v>
      </c>
      <c r="N139" s="2" t="e">
        <f ca="1">_xll.ESQuote("BAJAJHIND.EQ-NSE","Symbol")</f>
        <v>#NAME?</v>
      </c>
      <c r="O139" s="2" t="e">
        <f ca="1">_xll.ESQuote("BAJAJHIND.EQ-NSE","Volume")</f>
        <v>#NAME?</v>
      </c>
    </row>
    <row r="140" spans="1:15" x14ac:dyDescent="0.25">
      <c r="A140" s="1" t="s">
        <v>152</v>
      </c>
      <c r="B140" s="2" t="e">
        <f ca="1">_xll.ESQuote("BAJAJHLDNG.EQ-NSE","% Change")</f>
        <v>#NAME?</v>
      </c>
      <c r="C140" s="2" t="e">
        <f ca="1">_xll.ESQuote("BAJAJHLDNG.EQ-NSE","Change")</f>
        <v>#NAME?</v>
      </c>
      <c r="D140" s="2" t="e">
        <f ca="1">_xll.ESQuote("BAJAJHLDNG.EQ-NSE","Close")</f>
        <v>#NAME?</v>
      </c>
      <c r="E140" s="2" t="e">
        <f ca="1">_xll.ESQuote("BAJAJHLDNG.EQ-NSE","Company")</f>
        <v>#NAME?</v>
      </c>
      <c r="F140" s="2" t="e">
        <f ca="1">_xll.ESQuote("BAJAJHLDNG.EQ-NSE","Description")</f>
        <v>#NAME?</v>
      </c>
      <c r="G140" s="2" t="e">
        <f ca="1">_xll.ESQuote("BAJAJHLDNG.EQ-NSE","Exchange")</f>
        <v>#NAME?</v>
      </c>
      <c r="H140" s="2" t="e">
        <f ca="1">_xll.ESQuote("BAJAJHLDNG.EQ-NSE","High")</f>
        <v>#NAME?</v>
      </c>
      <c r="I140" s="2" t="e">
        <f ca="1">_xll.ESQuote("BAJAJHLDNG.EQ-NSE","Last")</f>
        <v>#NAME?</v>
      </c>
      <c r="J140" s="4" t="e">
        <f ca="1">_xll.ESQuote("BAJAJHLDNG.EQ-NSE","Last_Time")</f>
        <v>#NAME?</v>
      </c>
      <c r="K140" s="2" t="e">
        <f ca="1">_xll.ESQuote("BAJAJHLDNG.EQ-NSE","Low")</f>
        <v>#NAME?</v>
      </c>
      <c r="L140" s="2" t="e">
        <f ca="1">_xll.ESQuote("BAJAJHLDNG.EQ-NSE","Open")</f>
        <v>#NAME?</v>
      </c>
      <c r="M140" s="2" t="e">
        <f ca="1">_xll.ESQuote("BAJAJHLDNG.EQ-NSE","PrevPrice")</f>
        <v>#NAME?</v>
      </c>
      <c r="N140" s="2" t="e">
        <f ca="1">_xll.ESQuote("BAJAJHLDNG.EQ-NSE","Symbol")</f>
        <v>#NAME?</v>
      </c>
      <c r="O140" s="2" t="e">
        <f ca="1">_xll.ESQuote("BAJAJHLDNG.EQ-NSE","Volume")</f>
        <v>#NAME?</v>
      </c>
    </row>
    <row r="141" spans="1:15" x14ac:dyDescent="0.25">
      <c r="A141" s="1" t="s">
        <v>153</v>
      </c>
      <c r="B141" s="2" t="e">
        <f ca="1">_xll.ESQuote("BAJFINANCE.EQ-NSE","% Change")</f>
        <v>#NAME?</v>
      </c>
      <c r="C141" s="2" t="e">
        <f ca="1">_xll.ESQuote("BAJFINANCE.EQ-NSE","Change")</f>
        <v>#NAME?</v>
      </c>
      <c r="D141" s="2" t="e">
        <f ca="1">_xll.ESQuote("BAJFINANCE.EQ-NSE","Close")</f>
        <v>#NAME?</v>
      </c>
      <c r="E141" s="2" t="e">
        <f ca="1">_xll.ESQuote("BAJFINANCE.EQ-NSE","Company")</f>
        <v>#NAME?</v>
      </c>
      <c r="F141" s="2" t="e">
        <f ca="1">_xll.ESQuote("BAJFINANCE.EQ-NSE","Description")</f>
        <v>#NAME?</v>
      </c>
      <c r="G141" s="2" t="e">
        <f ca="1">_xll.ESQuote("BAJFINANCE.EQ-NSE","Exchange")</f>
        <v>#NAME?</v>
      </c>
      <c r="H141" s="2" t="e">
        <f ca="1">_xll.ESQuote("BAJFINANCE.EQ-NSE","High")</f>
        <v>#NAME?</v>
      </c>
      <c r="I141" s="2" t="e">
        <f ca="1">_xll.ESQuote("BAJFINANCE.EQ-NSE","Last")</f>
        <v>#NAME?</v>
      </c>
      <c r="J141" s="4" t="e">
        <f ca="1">_xll.ESQuote("BAJFINANCE.EQ-NSE","Last_Time")</f>
        <v>#NAME?</v>
      </c>
      <c r="K141" s="2" t="e">
        <f ca="1">_xll.ESQuote("BAJFINANCE.EQ-NSE","Low")</f>
        <v>#NAME?</v>
      </c>
      <c r="L141" s="2" t="e">
        <f ca="1">_xll.ESQuote("BAJFINANCE.EQ-NSE","Open")</f>
        <v>#NAME?</v>
      </c>
      <c r="M141" s="2" t="e">
        <f ca="1">_xll.ESQuote("BAJFINANCE.EQ-NSE","PrevPrice")</f>
        <v>#NAME?</v>
      </c>
      <c r="N141" s="2" t="e">
        <f ca="1">_xll.ESQuote("BAJFINANCE.EQ-NSE","Symbol")</f>
        <v>#NAME?</v>
      </c>
      <c r="O141" s="2" t="e">
        <f ca="1">_xll.ESQuote("BAJFINANCE.EQ-NSE","Volume")</f>
        <v>#NAME?</v>
      </c>
    </row>
    <row r="142" spans="1:15" x14ac:dyDescent="0.25">
      <c r="A142" s="1" t="s">
        <v>154</v>
      </c>
      <c r="B142" s="2" t="e">
        <f ca="1">_xll.ESQuote("BALAJITELE.EQ-NSE","% Change")</f>
        <v>#NAME?</v>
      </c>
      <c r="C142" s="2" t="e">
        <f ca="1">_xll.ESQuote("BALAJITELE.EQ-NSE","Change")</f>
        <v>#NAME?</v>
      </c>
      <c r="D142" s="2" t="e">
        <f ca="1">_xll.ESQuote("BALAJITELE.EQ-NSE","Close")</f>
        <v>#NAME?</v>
      </c>
      <c r="E142" s="2" t="e">
        <f ca="1">_xll.ESQuote("BALAJITELE.EQ-NSE","Company")</f>
        <v>#NAME?</v>
      </c>
      <c r="F142" s="2" t="e">
        <f ca="1">_xll.ESQuote("BALAJITELE.EQ-NSE","Description")</f>
        <v>#NAME?</v>
      </c>
      <c r="G142" s="2" t="e">
        <f ca="1">_xll.ESQuote("BALAJITELE.EQ-NSE","Exchange")</f>
        <v>#NAME?</v>
      </c>
      <c r="H142" s="2" t="e">
        <f ca="1">_xll.ESQuote("BALAJITELE.EQ-NSE","High")</f>
        <v>#NAME?</v>
      </c>
      <c r="I142" s="2" t="e">
        <f ca="1">_xll.ESQuote("BALAJITELE.EQ-NSE","Last")</f>
        <v>#NAME?</v>
      </c>
      <c r="J142" s="4" t="e">
        <f ca="1">_xll.ESQuote("BALAJITELE.EQ-NSE","Last_Time")</f>
        <v>#NAME?</v>
      </c>
      <c r="K142" s="2" t="e">
        <f ca="1">_xll.ESQuote("BALAJITELE.EQ-NSE","Low")</f>
        <v>#NAME?</v>
      </c>
      <c r="L142" s="2" t="e">
        <f ca="1">_xll.ESQuote("BALAJITELE.EQ-NSE","Open")</f>
        <v>#NAME?</v>
      </c>
      <c r="M142" s="2" t="e">
        <f ca="1">_xll.ESQuote("BALAJITELE.EQ-NSE","PrevPrice")</f>
        <v>#NAME?</v>
      </c>
      <c r="N142" s="2" t="e">
        <f ca="1">_xll.ESQuote("BALAJITELE.EQ-NSE","Symbol")</f>
        <v>#NAME?</v>
      </c>
      <c r="O142" s="2" t="e">
        <f ca="1">_xll.ESQuote("BALAJITELE.EQ-NSE","Volume")</f>
        <v>#NAME?</v>
      </c>
    </row>
    <row r="143" spans="1:15" x14ac:dyDescent="0.25">
      <c r="A143" s="1" t="s">
        <v>155</v>
      </c>
      <c r="B143" s="2" t="e">
        <f ca="1">_xll.ESQuote("BALAMINES.EQ-NSE","% Change")</f>
        <v>#NAME?</v>
      </c>
      <c r="C143" s="2" t="e">
        <f ca="1">_xll.ESQuote("BALAMINES.EQ-NSE","Change")</f>
        <v>#NAME?</v>
      </c>
      <c r="D143" s="2" t="e">
        <f ca="1">_xll.ESQuote("BALAMINES.EQ-NSE","Close")</f>
        <v>#NAME?</v>
      </c>
      <c r="E143" s="2" t="e">
        <f ca="1">_xll.ESQuote("BALAMINES.EQ-NSE","Company")</f>
        <v>#NAME?</v>
      </c>
      <c r="F143" s="2" t="e">
        <f ca="1">_xll.ESQuote("BALAMINES.EQ-NSE","Description")</f>
        <v>#NAME?</v>
      </c>
      <c r="G143" s="2" t="e">
        <f ca="1">_xll.ESQuote("BALAMINES.EQ-NSE","Exchange")</f>
        <v>#NAME?</v>
      </c>
      <c r="H143" s="2" t="e">
        <f ca="1">_xll.ESQuote("BALAMINES.EQ-NSE","High")</f>
        <v>#NAME?</v>
      </c>
      <c r="I143" s="2" t="e">
        <f ca="1">_xll.ESQuote("BALAMINES.EQ-NSE","Last")</f>
        <v>#NAME?</v>
      </c>
      <c r="J143" s="4" t="e">
        <f ca="1">_xll.ESQuote("BALAMINES.EQ-NSE","Last_Time")</f>
        <v>#NAME?</v>
      </c>
      <c r="K143" s="2" t="e">
        <f ca="1">_xll.ESQuote("BALAMINES.EQ-NSE","Low")</f>
        <v>#NAME?</v>
      </c>
      <c r="L143" s="2" t="e">
        <f ca="1">_xll.ESQuote("BALAMINES.EQ-NSE","Open")</f>
        <v>#NAME?</v>
      </c>
      <c r="M143" s="2" t="e">
        <f ca="1">_xll.ESQuote("BALAMINES.EQ-NSE","PrevPrice")</f>
        <v>#NAME?</v>
      </c>
      <c r="N143" s="2" t="e">
        <f ca="1">_xll.ESQuote("BALAMINES.EQ-NSE","Symbol")</f>
        <v>#NAME?</v>
      </c>
      <c r="O143" s="2" t="e">
        <f ca="1">_xll.ESQuote("BALAMINES.EQ-NSE","Volume")</f>
        <v>#NAME?</v>
      </c>
    </row>
    <row r="144" spans="1:15" x14ac:dyDescent="0.25">
      <c r="A144" s="1" t="s">
        <v>156</v>
      </c>
      <c r="B144" s="2" t="e">
        <f ca="1">_xll.ESQuote("BALKRISIND.EQ-NSE","% Change")</f>
        <v>#NAME?</v>
      </c>
      <c r="C144" s="2" t="e">
        <f ca="1">_xll.ESQuote("BALKRISIND.EQ-NSE","Change")</f>
        <v>#NAME?</v>
      </c>
      <c r="D144" s="2" t="e">
        <f ca="1">_xll.ESQuote("BALKRISIND.EQ-NSE","Close")</f>
        <v>#NAME?</v>
      </c>
      <c r="E144" s="2" t="e">
        <f ca="1">_xll.ESQuote("BALKRISIND.EQ-NSE","Company")</f>
        <v>#NAME?</v>
      </c>
      <c r="F144" s="2" t="e">
        <f ca="1">_xll.ESQuote("BALKRISIND.EQ-NSE","Description")</f>
        <v>#NAME?</v>
      </c>
      <c r="G144" s="2" t="e">
        <f ca="1">_xll.ESQuote("BALKRISIND.EQ-NSE","Exchange")</f>
        <v>#NAME?</v>
      </c>
      <c r="H144" s="2" t="e">
        <f ca="1">_xll.ESQuote("BALKRISIND.EQ-NSE","High")</f>
        <v>#NAME?</v>
      </c>
      <c r="I144" s="2" t="e">
        <f ca="1">_xll.ESQuote("BALKRISIND.EQ-NSE","Last")</f>
        <v>#NAME?</v>
      </c>
      <c r="J144" s="4" t="e">
        <f ca="1">_xll.ESQuote("BALKRISIND.EQ-NSE","Last_Time")</f>
        <v>#NAME?</v>
      </c>
      <c r="K144" s="2" t="e">
        <f ca="1">_xll.ESQuote("BALKRISIND.EQ-NSE","Low")</f>
        <v>#NAME?</v>
      </c>
      <c r="L144" s="2" t="e">
        <f ca="1">_xll.ESQuote("BALKRISIND.EQ-NSE","Open")</f>
        <v>#NAME?</v>
      </c>
      <c r="M144" s="2" t="e">
        <f ca="1">_xll.ESQuote("BALKRISIND.EQ-NSE","PrevPrice")</f>
        <v>#NAME?</v>
      </c>
      <c r="N144" s="2" t="e">
        <f ca="1">_xll.ESQuote("BALKRISIND.EQ-NSE","Symbol")</f>
        <v>#NAME?</v>
      </c>
      <c r="O144" s="2" t="e">
        <f ca="1">_xll.ESQuote("BALKRISIND.EQ-NSE","Volume")</f>
        <v>#NAME?</v>
      </c>
    </row>
    <row r="145" spans="1:15" x14ac:dyDescent="0.25">
      <c r="A145" s="1" t="s">
        <v>157</v>
      </c>
      <c r="B145" s="2" t="e">
        <f ca="1">_xll.ESQuote("BALLARPUR.EQ-NSE","% Change")</f>
        <v>#NAME?</v>
      </c>
      <c r="C145" s="2" t="e">
        <f ca="1">_xll.ESQuote("BALLARPUR.EQ-NSE","Change")</f>
        <v>#NAME?</v>
      </c>
      <c r="D145" s="2" t="e">
        <f ca="1">_xll.ESQuote("BALLARPUR.EQ-NSE","Close")</f>
        <v>#NAME?</v>
      </c>
      <c r="E145" s="2" t="e">
        <f ca="1">_xll.ESQuote("BALLARPUR.EQ-NSE","Company")</f>
        <v>#NAME?</v>
      </c>
      <c r="F145" s="2" t="e">
        <f ca="1">_xll.ESQuote("BALLARPUR.EQ-NSE","Description")</f>
        <v>#NAME?</v>
      </c>
      <c r="G145" s="2" t="e">
        <f ca="1">_xll.ESQuote("BALLARPUR.EQ-NSE","Exchange")</f>
        <v>#NAME?</v>
      </c>
      <c r="H145" s="2" t="e">
        <f ca="1">_xll.ESQuote("BALLARPUR.EQ-NSE","High")</f>
        <v>#NAME?</v>
      </c>
      <c r="I145" s="2" t="e">
        <f ca="1">_xll.ESQuote("BALLARPUR.EQ-NSE","Last")</f>
        <v>#NAME?</v>
      </c>
      <c r="J145" s="4" t="e">
        <f ca="1">_xll.ESQuote("BALLARPUR.EQ-NSE","Last_Time")</f>
        <v>#NAME?</v>
      </c>
      <c r="K145" s="2" t="e">
        <f ca="1">_xll.ESQuote("BALLARPUR.EQ-NSE","Low")</f>
        <v>#NAME?</v>
      </c>
      <c r="L145" s="2" t="e">
        <f ca="1">_xll.ESQuote("BALLARPUR.EQ-NSE","Open")</f>
        <v>#NAME?</v>
      </c>
      <c r="M145" s="2" t="e">
        <f ca="1">_xll.ESQuote("BALLARPUR.EQ-NSE","PrevPrice")</f>
        <v>#NAME?</v>
      </c>
      <c r="N145" s="2" t="e">
        <f ca="1">_xll.ESQuote("BALLARPUR.EQ-NSE","Symbol")</f>
        <v>#NAME?</v>
      </c>
      <c r="O145" s="2" t="e">
        <f ca="1">_xll.ESQuote("BALLARPUR.EQ-NSE","Volume")</f>
        <v>#NAME?</v>
      </c>
    </row>
    <row r="146" spans="1:15" x14ac:dyDescent="0.25">
      <c r="A146" s="1" t="s">
        <v>158</v>
      </c>
      <c r="B146" s="2" t="e">
        <f ca="1">_xll.ESQuote("BALMLAWRIE.EQ-NSE","% Change")</f>
        <v>#NAME?</v>
      </c>
      <c r="C146" s="2" t="e">
        <f ca="1">_xll.ESQuote("BALMLAWRIE.EQ-NSE","Change")</f>
        <v>#NAME?</v>
      </c>
      <c r="D146" s="2" t="e">
        <f ca="1">_xll.ESQuote("BALMLAWRIE.EQ-NSE","Close")</f>
        <v>#NAME?</v>
      </c>
      <c r="E146" s="2" t="e">
        <f ca="1">_xll.ESQuote("BALMLAWRIE.EQ-NSE","Company")</f>
        <v>#NAME?</v>
      </c>
      <c r="F146" s="2" t="e">
        <f ca="1">_xll.ESQuote("BALMLAWRIE.EQ-NSE","Description")</f>
        <v>#NAME?</v>
      </c>
      <c r="G146" s="2" t="e">
        <f ca="1">_xll.ESQuote("BALMLAWRIE.EQ-NSE","Exchange")</f>
        <v>#NAME?</v>
      </c>
      <c r="H146" s="2" t="e">
        <f ca="1">_xll.ESQuote("BALMLAWRIE.EQ-NSE","High")</f>
        <v>#NAME?</v>
      </c>
      <c r="I146" s="2" t="e">
        <f ca="1">_xll.ESQuote("BALMLAWRIE.EQ-NSE","Last")</f>
        <v>#NAME?</v>
      </c>
      <c r="J146" s="4" t="e">
        <f ca="1">_xll.ESQuote("BALMLAWRIE.EQ-NSE","Last_Time")</f>
        <v>#NAME?</v>
      </c>
      <c r="K146" s="2" t="e">
        <f ca="1">_xll.ESQuote("BALMLAWRIE.EQ-NSE","Low")</f>
        <v>#NAME?</v>
      </c>
      <c r="L146" s="2" t="e">
        <f ca="1">_xll.ESQuote("BALMLAWRIE.EQ-NSE","Open")</f>
        <v>#NAME?</v>
      </c>
      <c r="M146" s="2" t="e">
        <f ca="1">_xll.ESQuote("BALMLAWRIE.EQ-NSE","PrevPrice")</f>
        <v>#NAME?</v>
      </c>
      <c r="N146" s="2" t="e">
        <f ca="1">_xll.ESQuote("BALMLAWRIE.EQ-NSE","Symbol")</f>
        <v>#NAME?</v>
      </c>
      <c r="O146" s="2" t="e">
        <f ca="1">_xll.ESQuote("BALMLAWRIE.EQ-NSE","Volume")</f>
        <v>#NAME?</v>
      </c>
    </row>
    <row r="147" spans="1:15" x14ac:dyDescent="0.25">
      <c r="A147" s="1" t="s">
        <v>159</v>
      </c>
      <c r="B147" s="2" t="e">
        <f ca="1">_xll.ESQuote("BALPHARMA.EQ-NSE","% Change")</f>
        <v>#NAME?</v>
      </c>
      <c r="C147" s="2" t="e">
        <f ca="1">_xll.ESQuote("BALPHARMA.EQ-NSE","Change")</f>
        <v>#NAME?</v>
      </c>
      <c r="D147" s="2" t="e">
        <f ca="1">_xll.ESQuote("BALPHARMA.EQ-NSE","Close")</f>
        <v>#NAME?</v>
      </c>
      <c r="E147" s="2" t="e">
        <f ca="1">_xll.ESQuote("BALPHARMA.EQ-NSE","Company")</f>
        <v>#NAME?</v>
      </c>
      <c r="F147" s="2" t="e">
        <f ca="1">_xll.ESQuote("BALPHARMA.EQ-NSE","Description")</f>
        <v>#NAME?</v>
      </c>
      <c r="G147" s="2" t="e">
        <f ca="1">_xll.ESQuote("BALPHARMA.EQ-NSE","Exchange")</f>
        <v>#NAME?</v>
      </c>
      <c r="H147" s="2" t="e">
        <f ca="1">_xll.ESQuote("BALPHARMA.EQ-NSE","High")</f>
        <v>#NAME?</v>
      </c>
      <c r="I147" s="2" t="e">
        <f ca="1">_xll.ESQuote("BALPHARMA.EQ-NSE","Last")</f>
        <v>#NAME?</v>
      </c>
      <c r="J147" s="4" t="e">
        <f ca="1">_xll.ESQuote("BALPHARMA.EQ-NSE","Last_Time")</f>
        <v>#NAME?</v>
      </c>
      <c r="K147" s="2" t="e">
        <f ca="1">_xll.ESQuote("BALPHARMA.EQ-NSE","Low")</f>
        <v>#NAME?</v>
      </c>
      <c r="L147" s="2" t="e">
        <f ca="1">_xll.ESQuote("BALPHARMA.EQ-NSE","Open")</f>
        <v>#NAME?</v>
      </c>
      <c r="M147" s="2" t="e">
        <f ca="1">_xll.ESQuote("BALPHARMA.EQ-NSE","PrevPrice")</f>
        <v>#NAME?</v>
      </c>
      <c r="N147" s="2" t="e">
        <f ca="1">_xll.ESQuote("BALPHARMA.EQ-NSE","Symbol")</f>
        <v>#NAME?</v>
      </c>
      <c r="O147" s="2" t="e">
        <f ca="1">_xll.ESQuote("BALPHARMA.EQ-NSE","Volume")</f>
        <v>#NAME?</v>
      </c>
    </row>
    <row r="148" spans="1:15" x14ac:dyDescent="0.25">
      <c r="A148" s="1" t="s">
        <v>160</v>
      </c>
      <c r="B148" s="2" t="e">
        <f ca="1">_xll.ESQuote("BALRAMCHIN.EQ-NSE","% Change")</f>
        <v>#NAME?</v>
      </c>
      <c r="C148" s="2" t="e">
        <f ca="1">_xll.ESQuote("BALRAMCHIN.EQ-NSE","Change")</f>
        <v>#NAME?</v>
      </c>
      <c r="D148" s="2" t="e">
        <f ca="1">_xll.ESQuote("BALRAMCHIN.EQ-NSE","Close")</f>
        <v>#NAME?</v>
      </c>
      <c r="E148" s="2" t="e">
        <f ca="1">_xll.ESQuote("BALRAMCHIN.EQ-NSE","Company")</f>
        <v>#NAME?</v>
      </c>
      <c r="F148" s="2" t="e">
        <f ca="1">_xll.ESQuote("BALRAMCHIN.EQ-NSE","Description")</f>
        <v>#NAME?</v>
      </c>
      <c r="G148" s="2" t="e">
        <f ca="1">_xll.ESQuote("BALRAMCHIN.EQ-NSE","Exchange")</f>
        <v>#NAME?</v>
      </c>
      <c r="H148" s="2" t="e">
        <f ca="1">_xll.ESQuote("BALRAMCHIN.EQ-NSE","High")</f>
        <v>#NAME?</v>
      </c>
      <c r="I148" s="2" t="e">
        <f ca="1">_xll.ESQuote("BALRAMCHIN.EQ-NSE","Last")</f>
        <v>#NAME?</v>
      </c>
      <c r="J148" s="4" t="e">
        <f ca="1">_xll.ESQuote("BALRAMCHIN.EQ-NSE","Last_Time")</f>
        <v>#NAME?</v>
      </c>
      <c r="K148" s="2" t="e">
        <f ca="1">_xll.ESQuote("BALRAMCHIN.EQ-NSE","Low")</f>
        <v>#NAME?</v>
      </c>
      <c r="L148" s="2" t="e">
        <f ca="1">_xll.ESQuote("BALRAMCHIN.EQ-NSE","Open")</f>
        <v>#NAME?</v>
      </c>
      <c r="M148" s="2" t="e">
        <f ca="1">_xll.ESQuote("BALRAMCHIN.EQ-NSE","PrevPrice")</f>
        <v>#NAME?</v>
      </c>
      <c r="N148" s="2" t="e">
        <f ca="1">_xll.ESQuote("BALRAMCHIN.EQ-NSE","Symbol")</f>
        <v>#NAME?</v>
      </c>
      <c r="O148" s="2" t="e">
        <f ca="1">_xll.ESQuote("BALRAMCHIN.EQ-NSE","Volume")</f>
        <v>#NAME?</v>
      </c>
    </row>
    <row r="149" spans="1:15" x14ac:dyDescent="0.25">
      <c r="A149" s="1" t="s">
        <v>161</v>
      </c>
      <c r="B149" s="2" t="e">
        <f ca="1">_xll.ESQuote("BANARBEADS.EQ-NSE","% Change")</f>
        <v>#NAME?</v>
      </c>
      <c r="C149" s="2" t="e">
        <f ca="1">_xll.ESQuote("BANARBEADS.EQ-NSE","Change")</f>
        <v>#NAME?</v>
      </c>
      <c r="D149" s="2" t="e">
        <f ca="1">_xll.ESQuote("BANARBEADS.EQ-NSE","Close")</f>
        <v>#NAME?</v>
      </c>
      <c r="E149" s="2" t="e">
        <f ca="1">_xll.ESQuote("BANARBEADS.EQ-NSE","Company")</f>
        <v>#NAME?</v>
      </c>
      <c r="F149" s="2" t="e">
        <f ca="1">_xll.ESQuote("BANARBEADS.EQ-NSE","Description")</f>
        <v>#NAME?</v>
      </c>
      <c r="G149" s="2" t="e">
        <f ca="1">_xll.ESQuote("BANARBEADS.EQ-NSE","Exchange")</f>
        <v>#NAME?</v>
      </c>
      <c r="H149" s="2" t="e">
        <f ca="1">_xll.ESQuote("BANARBEADS.EQ-NSE","High")</f>
        <v>#NAME?</v>
      </c>
      <c r="I149" s="2" t="e">
        <f ca="1">_xll.ESQuote("BANARBEADS.EQ-NSE","Last")</f>
        <v>#NAME?</v>
      </c>
      <c r="J149" s="4" t="e">
        <f ca="1">_xll.ESQuote("BANARBEADS.EQ-NSE","Last_Time")</f>
        <v>#NAME?</v>
      </c>
      <c r="K149" s="2" t="e">
        <f ca="1">_xll.ESQuote("BANARBEADS.EQ-NSE","Low")</f>
        <v>#NAME?</v>
      </c>
      <c r="L149" s="2" t="e">
        <f ca="1">_xll.ESQuote("BANARBEADS.EQ-NSE","Open")</f>
        <v>#NAME?</v>
      </c>
      <c r="M149" s="2" t="e">
        <f ca="1">_xll.ESQuote("BANARBEADS.EQ-NSE","PrevPrice")</f>
        <v>#NAME?</v>
      </c>
      <c r="N149" s="2" t="e">
        <f ca="1">_xll.ESQuote("BANARBEADS.EQ-NSE","Symbol")</f>
        <v>#NAME?</v>
      </c>
      <c r="O149" s="2" t="e">
        <f ca="1">_xll.ESQuote("BANARBEADS.EQ-NSE","Volume")</f>
        <v>#NAME?</v>
      </c>
    </row>
    <row r="150" spans="1:15" x14ac:dyDescent="0.25">
      <c r="A150" s="1" t="s">
        <v>162</v>
      </c>
      <c r="B150" s="2" t="e">
        <f ca="1">_xll.ESQuote("BANARISUG.EQ-NSE","% Change")</f>
        <v>#NAME?</v>
      </c>
      <c r="C150" s="2" t="e">
        <f ca="1">_xll.ESQuote("BANARISUG.EQ-NSE","Change")</f>
        <v>#NAME?</v>
      </c>
      <c r="D150" s="2" t="e">
        <f ca="1">_xll.ESQuote("BANARISUG.EQ-NSE","Close")</f>
        <v>#NAME?</v>
      </c>
      <c r="E150" s="2" t="e">
        <f ca="1">_xll.ESQuote("BANARISUG.EQ-NSE","Company")</f>
        <v>#NAME?</v>
      </c>
      <c r="F150" s="2" t="e">
        <f ca="1">_xll.ESQuote("BANARISUG.EQ-NSE","Description")</f>
        <v>#NAME?</v>
      </c>
      <c r="G150" s="2" t="e">
        <f ca="1">_xll.ESQuote("BANARISUG.EQ-NSE","Exchange")</f>
        <v>#NAME?</v>
      </c>
      <c r="H150" s="2" t="e">
        <f ca="1">_xll.ESQuote("BANARISUG.EQ-NSE","High")</f>
        <v>#NAME?</v>
      </c>
      <c r="I150" s="2" t="e">
        <f ca="1">_xll.ESQuote("BANARISUG.EQ-NSE","Last")</f>
        <v>#NAME?</v>
      </c>
      <c r="J150" s="4" t="e">
        <f ca="1">_xll.ESQuote("BANARISUG.EQ-NSE","Last_Time")</f>
        <v>#NAME?</v>
      </c>
      <c r="K150" s="2" t="e">
        <f ca="1">_xll.ESQuote("BANARISUG.EQ-NSE","Low")</f>
        <v>#NAME?</v>
      </c>
      <c r="L150" s="2" t="e">
        <f ca="1">_xll.ESQuote("BANARISUG.EQ-NSE","Open")</f>
        <v>#NAME?</v>
      </c>
      <c r="M150" s="2" t="e">
        <f ca="1">_xll.ESQuote("BANARISUG.EQ-NSE","PrevPrice")</f>
        <v>#NAME?</v>
      </c>
      <c r="N150" s="2" t="e">
        <f ca="1">_xll.ESQuote("BANARISUG.EQ-NSE","Symbol")</f>
        <v>#NAME?</v>
      </c>
      <c r="O150" s="2" t="e">
        <f ca="1">_xll.ESQuote("BANARISUG.EQ-NSE","Volume")</f>
        <v>#NAME?</v>
      </c>
    </row>
    <row r="151" spans="1:15" x14ac:dyDescent="0.25">
      <c r="A151" s="1" t="s">
        <v>163</v>
      </c>
      <c r="B151" s="2" t="e">
        <f ca="1">_xll.ESQuote("BANCOINDIA.EQ-NSE","% Change")</f>
        <v>#NAME?</v>
      </c>
      <c r="C151" s="2" t="e">
        <f ca="1">_xll.ESQuote("BANCOINDIA.EQ-NSE","Change")</f>
        <v>#NAME?</v>
      </c>
      <c r="D151" s="2" t="e">
        <f ca="1">_xll.ESQuote("BANCOINDIA.EQ-NSE","Close")</f>
        <v>#NAME?</v>
      </c>
      <c r="E151" s="2" t="e">
        <f ca="1">_xll.ESQuote("BANCOINDIA.EQ-NSE","Company")</f>
        <v>#NAME?</v>
      </c>
      <c r="F151" s="2" t="e">
        <f ca="1">_xll.ESQuote("BANCOINDIA.EQ-NSE","Description")</f>
        <v>#NAME?</v>
      </c>
      <c r="G151" s="2" t="e">
        <f ca="1">_xll.ESQuote("BANCOINDIA.EQ-NSE","Exchange")</f>
        <v>#NAME?</v>
      </c>
      <c r="H151" s="2" t="e">
        <f ca="1">_xll.ESQuote("BANCOINDIA.EQ-NSE","High")</f>
        <v>#NAME?</v>
      </c>
      <c r="I151" s="2" t="e">
        <f ca="1">_xll.ESQuote("BANCOINDIA.EQ-NSE","Last")</f>
        <v>#NAME?</v>
      </c>
      <c r="J151" s="4" t="e">
        <f ca="1">_xll.ESQuote("BANCOINDIA.EQ-NSE","Last_Time")</f>
        <v>#NAME?</v>
      </c>
      <c r="K151" s="2" t="e">
        <f ca="1">_xll.ESQuote("BANCOINDIA.EQ-NSE","Low")</f>
        <v>#NAME?</v>
      </c>
      <c r="L151" s="2" t="e">
        <f ca="1">_xll.ESQuote("BANCOINDIA.EQ-NSE","Open")</f>
        <v>#NAME?</v>
      </c>
      <c r="M151" s="2" t="e">
        <f ca="1">_xll.ESQuote("BANCOINDIA.EQ-NSE","PrevPrice")</f>
        <v>#NAME?</v>
      </c>
      <c r="N151" s="2" t="e">
        <f ca="1">_xll.ESQuote("BANCOINDIA.EQ-NSE","Symbol")</f>
        <v>#NAME?</v>
      </c>
      <c r="O151" s="2" t="e">
        <f ca="1">_xll.ESQuote("BANCOINDIA.EQ-NSE","Volume")</f>
        <v>#NAME?</v>
      </c>
    </row>
    <row r="152" spans="1:15" x14ac:dyDescent="0.25">
      <c r="A152" s="1" t="s">
        <v>164</v>
      </c>
      <c r="B152" s="2" t="e">
        <f ca="1">_xll.ESQuote("BANG.EQ-NSE","% Change")</f>
        <v>#NAME?</v>
      </c>
      <c r="C152" s="2" t="e">
        <f ca="1">_xll.ESQuote("BANG.EQ-NSE","Change")</f>
        <v>#NAME?</v>
      </c>
      <c r="D152" s="2" t="e">
        <f ca="1">_xll.ESQuote("BANG.EQ-NSE","Close")</f>
        <v>#NAME?</v>
      </c>
      <c r="E152" s="2" t="e">
        <f ca="1">_xll.ESQuote("BANG.EQ-NSE","Company")</f>
        <v>#NAME?</v>
      </c>
      <c r="F152" s="2" t="e">
        <f ca="1">_xll.ESQuote("BANG.EQ-NSE","Description")</f>
        <v>#NAME?</v>
      </c>
      <c r="G152" s="2" t="e">
        <f ca="1">_xll.ESQuote("BANG.EQ-NSE","Exchange")</f>
        <v>#NAME?</v>
      </c>
      <c r="H152" s="2" t="e">
        <f ca="1">_xll.ESQuote("BANG.EQ-NSE","High")</f>
        <v>#NAME?</v>
      </c>
      <c r="I152" s="2" t="e">
        <f ca="1">_xll.ESQuote("BANG.EQ-NSE","Last")</f>
        <v>#NAME?</v>
      </c>
      <c r="J152" s="4" t="e">
        <f ca="1">_xll.ESQuote("BANG.EQ-NSE","Last_Time")</f>
        <v>#NAME?</v>
      </c>
      <c r="K152" s="2" t="e">
        <f ca="1">_xll.ESQuote("BANG.EQ-NSE","Low")</f>
        <v>#NAME?</v>
      </c>
      <c r="L152" s="2" t="e">
        <f ca="1">_xll.ESQuote("BANG.EQ-NSE","Open")</f>
        <v>#NAME?</v>
      </c>
      <c r="M152" s="2" t="e">
        <f ca="1">_xll.ESQuote("BANG.EQ-NSE","PrevPrice")</f>
        <v>#NAME?</v>
      </c>
      <c r="N152" s="2" t="e">
        <f ca="1">_xll.ESQuote("BANG.EQ-NSE","Symbol")</f>
        <v>#NAME?</v>
      </c>
      <c r="O152" s="2" t="e">
        <f ca="1">_xll.ESQuote("BANG.EQ-NSE","Volume")</f>
        <v>#NAME?</v>
      </c>
    </row>
    <row r="153" spans="1:15" x14ac:dyDescent="0.25">
      <c r="A153" s="1" t="s">
        <v>165</v>
      </c>
      <c r="B153" s="2" t="e">
        <f ca="1">_xll.ESQuote("BANKBARODA.EQ-NSE","% Change")</f>
        <v>#NAME?</v>
      </c>
      <c r="C153" s="2" t="e">
        <f ca="1">_xll.ESQuote("BANKBARODA.EQ-NSE","Change")</f>
        <v>#NAME?</v>
      </c>
      <c r="D153" s="2" t="e">
        <f ca="1">_xll.ESQuote("BANKBARODA.EQ-NSE","Close")</f>
        <v>#NAME?</v>
      </c>
      <c r="E153" s="2" t="e">
        <f ca="1">_xll.ESQuote("BANKBARODA.EQ-NSE","Company")</f>
        <v>#NAME?</v>
      </c>
      <c r="F153" s="2" t="e">
        <f ca="1">_xll.ESQuote("BANKBARODA.EQ-NSE","Description")</f>
        <v>#NAME?</v>
      </c>
      <c r="G153" s="2" t="e">
        <f ca="1">_xll.ESQuote("BANKBARODA.EQ-NSE","Exchange")</f>
        <v>#NAME?</v>
      </c>
      <c r="H153" s="2" t="e">
        <f ca="1">_xll.ESQuote("BANKBARODA.EQ-NSE","High")</f>
        <v>#NAME?</v>
      </c>
      <c r="I153" s="2" t="e">
        <f ca="1">_xll.ESQuote("BANKBARODA.EQ-NSE","Last")</f>
        <v>#NAME?</v>
      </c>
      <c r="J153" s="4" t="e">
        <f ca="1">_xll.ESQuote("BANKBARODA.EQ-NSE","Last_Time")</f>
        <v>#NAME?</v>
      </c>
      <c r="K153" s="2" t="e">
        <f ca="1">_xll.ESQuote("BANKBARODA.EQ-NSE","Low")</f>
        <v>#NAME?</v>
      </c>
      <c r="L153" s="2" t="e">
        <f ca="1">_xll.ESQuote("BANKBARODA.EQ-NSE","Open")</f>
        <v>#NAME?</v>
      </c>
      <c r="M153" s="2" t="e">
        <f ca="1">_xll.ESQuote("BANKBARODA.EQ-NSE","PrevPrice")</f>
        <v>#NAME?</v>
      </c>
      <c r="N153" s="2" t="e">
        <f ca="1">_xll.ESQuote("BANKBARODA.EQ-NSE","Symbol")</f>
        <v>#NAME?</v>
      </c>
      <c r="O153" s="2" t="e">
        <f ca="1">_xll.ESQuote("BANKBARODA.EQ-NSE","Volume")</f>
        <v>#NAME?</v>
      </c>
    </row>
    <row r="154" spans="1:15" x14ac:dyDescent="0.25">
      <c r="A154" s="1" t="s">
        <v>166</v>
      </c>
      <c r="B154" s="2" t="e">
        <f ca="1">_xll.ESQuote("BANKINDIA.EQ-NSE","% Change")</f>
        <v>#NAME?</v>
      </c>
      <c r="C154" s="2" t="e">
        <f ca="1">_xll.ESQuote("BANKINDIA.EQ-NSE","Change")</f>
        <v>#NAME?</v>
      </c>
      <c r="D154" s="2" t="e">
        <f ca="1">_xll.ESQuote("BANKINDIA.EQ-NSE","Close")</f>
        <v>#NAME?</v>
      </c>
      <c r="E154" s="2" t="e">
        <f ca="1">_xll.ESQuote("BANKINDIA.EQ-NSE","Company")</f>
        <v>#NAME?</v>
      </c>
      <c r="F154" s="2" t="e">
        <f ca="1">_xll.ESQuote("BANKINDIA.EQ-NSE","Description")</f>
        <v>#NAME?</v>
      </c>
      <c r="G154" s="2" t="e">
        <f ca="1">_xll.ESQuote("BANKINDIA.EQ-NSE","Exchange")</f>
        <v>#NAME?</v>
      </c>
      <c r="H154" s="2" t="e">
        <f ca="1">_xll.ESQuote("BANKINDIA.EQ-NSE","High")</f>
        <v>#NAME?</v>
      </c>
      <c r="I154" s="2" t="e">
        <f ca="1">_xll.ESQuote("BANKINDIA.EQ-NSE","Last")</f>
        <v>#NAME?</v>
      </c>
      <c r="J154" s="4" t="e">
        <f ca="1">_xll.ESQuote("BANKINDIA.EQ-NSE","Last_Time")</f>
        <v>#NAME?</v>
      </c>
      <c r="K154" s="2" t="e">
        <f ca="1">_xll.ESQuote("BANKINDIA.EQ-NSE","Low")</f>
        <v>#NAME?</v>
      </c>
      <c r="L154" s="2" t="e">
        <f ca="1">_xll.ESQuote("BANKINDIA.EQ-NSE","Open")</f>
        <v>#NAME?</v>
      </c>
      <c r="M154" s="2" t="e">
        <f ca="1">_xll.ESQuote("BANKINDIA.EQ-NSE","PrevPrice")</f>
        <v>#NAME?</v>
      </c>
      <c r="N154" s="2" t="e">
        <f ca="1">_xll.ESQuote("BANKINDIA.EQ-NSE","Symbol")</f>
        <v>#NAME?</v>
      </c>
      <c r="O154" s="2" t="e">
        <f ca="1">_xll.ESQuote("BANKINDIA.EQ-NSE","Volume")</f>
        <v>#NAME?</v>
      </c>
    </row>
    <row r="155" spans="1:15" x14ac:dyDescent="0.25">
      <c r="A155" s="1" t="s">
        <v>167</v>
      </c>
      <c r="B155" s="2" t="e">
        <f ca="1">_xll.ESQuote("BANSWRAS.EQ-NSE","% Change")</f>
        <v>#NAME?</v>
      </c>
      <c r="C155" s="2" t="e">
        <f ca="1">_xll.ESQuote("BANSWRAS.EQ-NSE","Change")</f>
        <v>#NAME?</v>
      </c>
      <c r="D155" s="2" t="e">
        <f ca="1">_xll.ESQuote("BANSWRAS.EQ-NSE","Close")</f>
        <v>#NAME?</v>
      </c>
      <c r="E155" s="2" t="e">
        <f ca="1">_xll.ESQuote("BANSWRAS.EQ-NSE","Company")</f>
        <v>#NAME?</v>
      </c>
      <c r="F155" s="2" t="e">
        <f ca="1">_xll.ESQuote("BANSWRAS.EQ-NSE","Description")</f>
        <v>#NAME?</v>
      </c>
      <c r="G155" s="2" t="e">
        <f ca="1">_xll.ESQuote("BANSWRAS.EQ-NSE","Exchange")</f>
        <v>#NAME?</v>
      </c>
      <c r="H155" s="2" t="e">
        <f ca="1">_xll.ESQuote("BANSWRAS.EQ-NSE","High")</f>
        <v>#NAME?</v>
      </c>
      <c r="I155" s="2" t="e">
        <f ca="1">_xll.ESQuote("BANSWRAS.EQ-NSE","Last")</f>
        <v>#NAME?</v>
      </c>
      <c r="J155" s="4" t="e">
        <f ca="1">_xll.ESQuote("BANSWRAS.EQ-NSE","Last_Time")</f>
        <v>#NAME?</v>
      </c>
      <c r="K155" s="2" t="e">
        <f ca="1">_xll.ESQuote("BANSWRAS.EQ-NSE","Low")</f>
        <v>#NAME?</v>
      </c>
      <c r="L155" s="2" t="e">
        <f ca="1">_xll.ESQuote("BANSWRAS.EQ-NSE","Open")</f>
        <v>#NAME?</v>
      </c>
      <c r="M155" s="2" t="e">
        <f ca="1">_xll.ESQuote("BANSWRAS.EQ-NSE","PrevPrice")</f>
        <v>#NAME?</v>
      </c>
      <c r="N155" s="2" t="e">
        <f ca="1">_xll.ESQuote("BANSWRAS.EQ-NSE","Symbol")</f>
        <v>#NAME?</v>
      </c>
      <c r="O155" s="2" t="e">
        <f ca="1">_xll.ESQuote("BANSWRAS.EQ-NSE","Volume")</f>
        <v>#NAME?</v>
      </c>
    </row>
    <row r="156" spans="1:15" x14ac:dyDescent="0.25">
      <c r="A156" s="1" t="s">
        <v>168</v>
      </c>
      <c r="B156" s="2" t="e">
        <f ca="1">_xll.ESQuote("BARTRONICS.EQ-NSE","% Change")</f>
        <v>#NAME?</v>
      </c>
      <c r="C156" s="2" t="e">
        <f ca="1">_xll.ESQuote("BARTRONICS.EQ-NSE","Change")</f>
        <v>#NAME?</v>
      </c>
      <c r="D156" s="2" t="e">
        <f ca="1">_xll.ESQuote("BARTRONICS.EQ-NSE","Close")</f>
        <v>#NAME?</v>
      </c>
      <c r="E156" s="2" t="e">
        <f ca="1">_xll.ESQuote("BARTRONICS.EQ-NSE","Company")</f>
        <v>#NAME?</v>
      </c>
      <c r="F156" s="2" t="e">
        <f ca="1">_xll.ESQuote("BARTRONICS.EQ-NSE","Description")</f>
        <v>#NAME?</v>
      </c>
      <c r="G156" s="2" t="e">
        <f ca="1">_xll.ESQuote("BARTRONICS.EQ-NSE","Exchange")</f>
        <v>#NAME?</v>
      </c>
      <c r="H156" s="2" t="e">
        <f ca="1">_xll.ESQuote("BARTRONICS.EQ-NSE","High")</f>
        <v>#NAME?</v>
      </c>
      <c r="I156" s="2" t="e">
        <f ca="1">_xll.ESQuote("BARTRONICS.EQ-NSE","Last")</f>
        <v>#NAME?</v>
      </c>
      <c r="J156" s="4" t="e">
        <f ca="1">_xll.ESQuote("BARTRONICS.EQ-NSE","Last_Time")</f>
        <v>#NAME?</v>
      </c>
      <c r="K156" s="2" t="e">
        <f ca="1">_xll.ESQuote("BARTRONICS.EQ-NSE","Low")</f>
        <v>#NAME?</v>
      </c>
      <c r="L156" s="2" t="e">
        <f ca="1">_xll.ESQuote("BARTRONICS.EQ-NSE","Open")</f>
        <v>#NAME?</v>
      </c>
      <c r="M156" s="2" t="e">
        <f ca="1">_xll.ESQuote("BARTRONICS.EQ-NSE","PrevPrice")</f>
        <v>#NAME?</v>
      </c>
      <c r="N156" s="2" t="e">
        <f ca="1">_xll.ESQuote("BARTRONICS.EQ-NSE","Symbol")</f>
        <v>#NAME?</v>
      </c>
      <c r="O156" s="2" t="e">
        <f ca="1">_xll.ESQuote("BARTRONICS.EQ-NSE","Volume")</f>
        <v>#NAME?</v>
      </c>
    </row>
    <row r="157" spans="1:15" x14ac:dyDescent="0.25">
      <c r="A157" s="1" t="s">
        <v>169</v>
      </c>
      <c r="B157" s="2" t="e">
        <f ca="1">_xll.ESQuote("BASF.EQ-NSE","% Change")</f>
        <v>#NAME?</v>
      </c>
      <c r="C157" s="2" t="e">
        <f ca="1">_xll.ESQuote("BASF.EQ-NSE","Change")</f>
        <v>#NAME?</v>
      </c>
      <c r="D157" s="2" t="e">
        <f ca="1">_xll.ESQuote("BASF.EQ-NSE","Close")</f>
        <v>#NAME?</v>
      </c>
      <c r="E157" s="2" t="e">
        <f ca="1">_xll.ESQuote("BASF.EQ-NSE","Company")</f>
        <v>#NAME?</v>
      </c>
      <c r="F157" s="2" t="e">
        <f ca="1">_xll.ESQuote("BASF.EQ-NSE","Description")</f>
        <v>#NAME?</v>
      </c>
      <c r="G157" s="2" t="e">
        <f ca="1">_xll.ESQuote("BASF.EQ-NSE","Exchange")</f>
        <v>#NAME?</v>
      </c>
      <c r="H157" s="2" t="e">
        <f ca="1">_xll.ESQuote("BASF.EQ-NSE","High")</f>
        <v>#NAME?</v>
      </c>
      <c r="I157" s="2" t="e">
        <f ca="1">_xll.ESQuote("BASF.EQ-NSE","Last")</f>
        <v>#NAME?</v>
      </c>
      <c r="J157" s="4" t="e">
        <f ca="1">_xll.ESQuote("BASF.EQ-NSE","Last_Time")</f>
        <v>#NAME?</v>
      </c>
      <c r="K157" s="2" t="e">
        <f ca="1">_xll.ESQuote("BASF.EQ-NSE","Low")</f>
        <v>#NAME?</v>
      </c>
      <c r="L157" s="2" t="e">
        <f ca="1">_xll.ESQuote("BASF.EQ-NSE","Open")</f>
        <v>#NAME?</v>
      </c>
      <c r="M157" s="2" t="e">
        <f ca="1">_xll.ESQuote("BASF.EQ-NSE","PrevPrice")</f>
        <v>#NAME?</v>
      </c>
      <c r="N157" s="2" t="e">
        <f ca="1">_xll.ESQuote("BASF.EQ-NSE","Symbol")</f>
        <v>#NAME?</v>
      </c>
      <c r="O157" s="2" t="e">
        <f ca="1">_xll.ESQuote("BASF.EQ-NSE","Volume")</f>
        <v>#NAME?</v>
      </c>
    </row>
    <row r="158" spans="1:15" x14ac:dyDescent="0.25">
      <c r="A158" s="1" t="s">
        <v>170</v>
      </c>
      <c r="B158" s="2" t="e">
        <f ca="1">_xll.ESQuote("BASML.EQ-NSE","% Change")</f>
        <v>#NAME?</v>
      </c>
      <c r="C158" s="2" t="e">
        <f ca="1">_xll.ESQuote("BASML.EQ-NSE","Change")</f>
        <v>#NAME?</v>
      </c>
      <c r="D158" s="2" t="e">
        <f ca="1">_xll.ESQuote("BASML.EQ-NSE","Close")</f>
        <v>#NAME?</v>
      </c>
      <c r="E158" s="2" t="e">
        <f ca="1">_xll.ESQuote("BASML.EQ-NSE","Company")</f>
        <v>#NAME?</v>
      </c>
      <c r="F158" s="2" t="e">
        <f ca="1">_xll.ESQuote("BASML.EQ-NSE","Description")</f>
        <v>#NAME?</v>
      </c>
      <c r="G158" s="2" t="e">
        <f ca="1">_xll.ESQuote("BASML.EQ-NSE","Exchange")</f>
        <v>#NAME?</v>
      </c>
      <c r="H158" s="2" t="e">
        <f ca="1">_xll.ESQuote("BASML.EQ-NSE","High")</f>
        <v>#NAME?</v>
      </c>
      <c r="I158" s="2" t="e">
        <f ca="1">_xll.ESQuote("BASML.EQ-NSE","Last")</f>
        <v>#NAME?</v>
      </c>
      <c r="J158" s="4" t="e">
        <f ca="1">_xll.ESQuote("BASML.EQ-NSE","Last_Time")</f>
        <v>#NAME?</v>
      </c>
      <c r="K158" s="2" t="e">
        <f ca="1">_xll.ESQuote("BASML.EQ-NSE","Low")</f>
        <v>#NAME?</v>
      </c>
      <c r="L158" s="2" t="e">
        <f ca="1">_xll.ESQuote("BASML.EQ-NSE","Open")</f>
        <v>#NAME?</v>
      </c>
      <c r="M158" s="2" t="e">
        <f ca="1">_xll.ESQuote("BASML.EQ-NSE","PrevPrice")</f>
        <v>#NAME?</v>
      </c>
      <c r="N158" s="2" t="e">
        <f ca="1">_xll.ESQuote("BASML.EQ-NSE","Symbol")</f>
        <v>#NAME?</v>
      </c>
      <c r="O158" s="2" t="e">
        <f ca="1">_xll.ESQuote("BASML.EQ-NSE","Volume")</f>
        <v>#NAME?</v>
      </c>
    </row>
    <row r="159" spans="1:15" x14ac:dyDescent="0.25">
      <c r="A159" s="1" t="s">
        <v>171</v>
      </c>
      <c r="B159" s="2" t="e">
        <f ca="1">_xll.ESQuote("BATAINDIA.EQ-NSE","% Change")</f>
        <v>#NAME?</v>
      </c>
      <c r="C159" s="2" t="e">
        <f ca="1">_xll.ESQuote("BATAINDIA.EQ-NSE","Change")</f>
        <v>#NAME?</v>
      </c>
      <c r="D159" s="2" t="e">
        <f ca="1">_xll.ESQuote("BATAINDIA.EQ-NSE","Close")</f>
        <v>#NAME?</v>
      </c>
      <c r="E159" s="2" t="e">
        <f ca="1">_xll.ESQuote("BATAINDIA.EQ-NSE","Company")</f>
        <v>#NAME?</v>
      </c>
      <c r="F159" s="2" t="e">
        <f ca="1">_xll.ESQuote("BATAINDIA.EQ-NSE","Description")</f>
        <v>#NAME?</v>
      </c>
      <c r="G159" s="2" t="e">
        <f ca="1">_xll.ESQuote("BATAINDIA.EQ-NSE","Exchange")</f>
        <v>#NAME?</v>
      </c>
      <c r="H159" s="2" t="e">
        <f ca="1">_xll.ESQuote("BATAINDIA.EQ-NSE","High")</f>
        <v>#NAME?</v>
      </c>
      <c r="I159" s="2" t="e">
        <f ca="1">_xll.ESQuote("BATAINDIA.EQ-NSE","Last")</f>
        <v>#NAME?</v>
      </c>
      <c r="J159" s="4" t="e">
        <f ca="1">_xll.ESQuote("BATAINDIA.EQ-NSE","Last_Time")</f>
        <v>#NAME?</v>
      </c>
      <c r="K159" s="2" t="e">
        <f ca="1">_xll.ESQuote("BATAINDIA.EQ-NSE","Low")</f>
        <v>#NAME?</v>
      </c>
      <c r="L159" s="2" t="e">
        <f ca="1">_xll.ESQuote("BATAINDIA.EQ-NSE","Open")</f>
        <v>#NAME?</v>
      </c>
      <c r="M159" s="2" t="e">
        <f ca="1">_xll.ESQuote("BATAINDIA.EQ-NSE","PrevPrice")</f>
        <v>#NAME?</v>
      </c>
      <c r="N159" s="2" t="e">
        <f ca="1">_xll.ESQuote("BATAINDIA.EQ-NSE","Symbol")</f>
        <v>#NAME?</v>
      </c>
      <c r="O159" s="2" t="e">
        <f ca="1">_xll.ESQuote("BATAINDIA.EQ-NSE","Volume")</f>
        <v>#NAME?</v>
      </c>
    </row>
    <row r="160" spans="1:15" x14ac:dyDescent="0.25">
      <c r="A160" s="1" t="s">
        <v>172</v>
      </c>
      <c r="B160" s="2" t="e">
        <f ca="1">_xll.ESQuote("BAYERCROP.EQ-NSE","% Change")</f>
        <v>#NAME?</v>
      </c>
      <c r="C160" s="2" t="e">
        <f ca="1">_xll.ESQuote("BAYERCROP.EQ-NSE","Change")</f>
        <v>#NAME?</v>
      </c>
      <c r="D160" s="2" t="e">
        <f ca="1">_xll.ESQuote("BAYERCROP.EQ-NSE","Close")</f>
        <v>#NAME?</v>
      </c>
      <c r="E160" s="2" t="e">
        <f ca="1">_xll.ESQuote("BAYERCROP.EQ-NSE","Company")</f>
        <v>#NAME?</v>
      </c>
      <c r="F160" s="2" t="e">
        <f ca="1">_xll.ESQuote("BAYERCROP.EQ-NSE","Description")</f>
        <v>#NAME?</v>
      </c>
      <c r="G160" s="2" t="e">
        <f ca="1">_xll.ESQuote("BAYERCROP.EQ-NSE","Exchange")</f>
        <v>#NAME?</v>
      </c>
      <c r="H160" s="2" t="e">
        <f ca="1">_xll.ESQuote("BAYERCROP.EQ-NSE","High")</f>
        <v>#NAME?</v>
      </c>
      <c r="I160" s="2" t="e">
        <f ca="1">_xll.ESQuote("BAYERCROP.EQ-NSE","Last")</f>
        <v>#NAME?</v>
      </c>
      <c r="J160" s="4" t="e">
        <f ca="1">_xll.ESQuote("BAYERCROP.EQ-NSE","Last_Time")</f>
        <v>#NAME?</v>
      </c>
      <c r="K160" s="2" t="e">
        <f ca="1">_xll.ESQuote("BAYERCROP.EQ-NSE","Low")</f>
        <v>#NAME?</v>
      </c>
      <c r="L160" s="2" t="e">
        <f ca="1">_xll.ESQuote("BAYERCROP.EQ-NSE","Open")</f>
        <v>#NAME?</v>
      </c>
      <c r="M160" s="2" t="e">
        <f ca="1">_xll.ESQuote("BAYERCROP.EQ-NSE","PrevPrice")</f>
        <v>#NAME?</v>
      </c>
      <c r="N160" s="2" t="e">
        <f ca="1">_xll.ESQuote("BAYERCROP.EQ-NSE","Symbol")</f>
        <v>#NAME?</v>
      </c>
      <c r="O160" s="2" t="e">
        <f ca="1">_xll.ESQuote("BAYERCROP.EQ-NSE","Volume")</f>
        <v>#NAME?</v>
      </c>
    </row>
    <row r="161" spans="1:15" x14ac:dyDescent="0.25">
      <c r="A161" s="1" t="s">
        <v>173</v>
      </c>
      <c r="B161" s="2" t="e">
        <f ca="1">_xll.ESQuote("BBL.EQ-NSE","% Change")</f>
        <v>#NAME?</v>
      </c>
      <c r="C161" s="2" t="e">
        <f ca="1">_xll.ESQuote("BBL.EQ-NSE","Change")</f>
        <v>#NAME?</v>
      </c>
      <c r="D161" s="2" t="e">
        <f ca="1">_xll.ESQuote("BBL.EQ-NSE","Close")</f>
        <v>#NAME?</v>
      </c>
      <c r="E161" s="2" t="e">
        <f ca="1">_xll.ESQuote("BBL.EQ-NSE","Company")</f>
        <v>#NAME?</v>
      </c>
      <c r="F161" s="2" t="e">
        <f ca="1">_xll.ESQuote("BBL.EQ-NSE","Description")</f>
        <v>#NAME?</v>
      </c>
      <c r="G161" s="2" t="e">
        <f ca="1">_xll.ESQuote("BBL.EQ-NSE","Exchange")</f>
        <v>#NAME?</v>
      </c>
      <c r="H161" s="2" t="e">
        <f ca="1">_xll.ESQuote("BBL.EQ-NSE","High")</f>
        <v>#NAME?</v>
      </c>
      <c r="I161" s="2" t="e">
        <f ca="1">_xll.ESQuote("BBL.EQ-NSE","Last")</f>
        <v>#NAME?</v>
      </c>
      <c r="J161" s="4" t="e">
        <f ca="1">_xll.ESQuote("BBL.EQ-NSE","Last_Time")</f>
        <v>#NAME?</v>
      </c>
      <c r="K161" s="2" t="e">
        <f ca="1">_xll.ESQuote("BBL.EQ-NSE","Low")</f>
        <v>#NAME?</v>
      </c>
      <c r="L161" s="2" t="e">
        <f ca="1">_xll.ESQuote("BBL.EQ-NSE","Open")</f>
        <v>#NAME?</v>
      </c>
      <c r="M161" s="2" t="e">
        <f ca="1">_xll.ESQuote("BBL.EQ-NSE","PrevPrice")</f>
        <v>#NAME?</v>
      </c>
      <c r="N161" s="2" t="e">
        <f ca="1">_xll.ESQuote("BBL.EQ-NSE","Symbol")</f>
        <v>#NAME?</v>
      </c>
      <c r="O161" s="2" t="e">
        <f ca="1">_xll.ESQuote("BBL.EQ-NSE","Volume")</f>
        <v>#NAME?</v>
      </c>
    </row>
    <row r="162" spans="1:15" x14ac:dyDescent="0.25">
      <c r="A162" s="1" t="s">
        <v>174</v>
      </c>
      <c r="B162" s="2" t="e">
        <f ca="1">_xll.ESQuote("BBTC.EQ-NSE","% Change")</f>
        <v>#NAME?</v>
      </c>
      <c r="C162" s="2" t="e">
        <f ca="1">_xll.ESQuote("BBTC.EQ-NSE","Change")</f>
        <v>#NAME?</v>
      </c>
      <c r="D162" s="2" t="e">
        <f ca="1">_xll.ESQuote("BBTC.EQ-NSE","Close")</f>
        <v>#NAME?</v>
      </c>
      <c r="E162" s="2" t="e">
        <f ca="1">_xll.ESQuote("BBTC.EQ-NSE","Company")</f>
        <v>#NAME?</v>
      </c>
      <c r="F162" s="2" t="e">
        <f ca="1">_xll.ESQuote("BBTC.EQ-NSE","Description")</f>
        <v>#NAME?</v>
      </c>
      <c r="G162" s="2" t="e">
        <f ca="1">_xll.ESQuote("BBTC.EQ-NSE","Exchange")</f>
        <v>#NAME?</v>
      </c>
      <c r="H162" s="2" t="e">
        <f ca="1">_xll.ESQuote("BBTC.EQ-NSE","High")</f>
        <v>#NAME?</v>
      </c>
      <c r="I162" s="2" t="e">
        <f ca="1">_xll.ESQuote("BBTC.EQ-NSE","Last")</f>
        <v>#NAME?</v>
      </c>
      <c r="J162" s="4" t="e">
        <f ca="1">_xll.ESQuote("BBTC.EQ-NSE","Last_Time")</f>
        <v>#NAME?</v>
      </c>
      <c r="K162" s="2" t="e">
        <f ca="1">_xll.ESQuote("BBTC.EQ-NSE","Low")</f>
        <v>#NAME?</v>
      </c>
      <c r="L162" s="2" t="e">
        <f ca="1">_xll.ESQuote("BBTC.EQ-NSE","Open")</f>
        <v>#NAME?</v>
      </c>
      <c r="M162" s="2" t="e">
        <f ca="1">_xll.ESQuote("BBTC.EQ-NSE","PrevPrice")</f>
        <v>#NAME?</v>
      </c>
      <c r="N162" s="2" t="e">
        <f ca="1">_xll.ESQuote("BBTC.EQ-NSE","Symbol")</f>
        <v>#NAME?</v>
      </c>
      <c r="O162" s="2" t="e">
        <f ca="1">_xll.ESQuote("BBTC.EQ-NSE","Volume")</f>
        <v>#NAME?</v>
      </c>
    </row>
    <row r="163" spans="1:15" x14ac:dyDescent="0.25">
      <c r="A163" s="1" t="s">
        <v>175</v>
      </c>
      <c r="B163" s="2" t="e">
        <f ca="1">_xll.ESQuote("BEARDSELL.EQ-NSE","% Change")</f>
        <v>#NAME?</v>
      </c>
      <c r="C163" s="2" t="e">
        <f ca="1">_xll.ESQuote("BEARDSELL.EQ-NSE","Change")</f>
        <v>#NAME?</v>
      </c>
      <c r="D163" s="2" t="e">
        <f ca="1">_xll.ESQuote("BEARDSELL.EQ-NSE","Close")</f>
        <v>#NAME?</v>
      </c>
      <c r="E163" s="2" t="e">
        <f ca="1">_xll.ESQuote("BEARDSELL.EQ-NSE","Company")</f>
        <v>#NAME?</v>
      </c>
      <c r="F163" s="2" t="e">
        <f ca="1">_xll.ESQuote("BEARDSELL.EQ-NSE","Description")</f>
        <v>#NAME?</v>
      </c>
      <c r="G163" s="2" t="e">
        <f ca="1">_xll.ESQuote("BEARDSELL.EQ-NSE","Exchange")</f>
        <v>#NAME?</v>
      </c>
      <c r="H163" s="2" t="e">
        <f ca="1">_xll.ESQuote("BEARDSELL.EQ-NSE","High")</f>
        <v>#NAME?</v>
      </c>
      <c r="I163" s="2" t="e">
        <f ca="1">_xll.ESQuote("BEARDSELL.EQ-NSE","Last")</f>
        <v>#NAME?</v>
      </c>
      <c r="J163" s="4" t="e">
        <f ca="1">_xll.ESQuote("BEARDSELL.EQ-NSE","Last_Time")</f>
        <v>#NAME?</v>
      </c>
      <c r="K163" s="2" t="e">
        <f ca="1">_xll.ESQuote("BEARDSELL.EQ-NSE","Low")</f>
        <v>#NAME?</v>
      </c>
      <c r="L163" s="2" t="e">
        <f ca="1">_xll.ESQuote("BEARDSELL.EQ-NSE","Open")</f>
        <v>#NAME?</v>
      </c>
      <c r="M163" s="2" t="e">
        <f ca="1">_xll.ESQuote("BEARDSELL.EQ-NSE","PrevPrice")</f>
        <v>#NAME?</v>
      </c>
      <c r="N163" s="2" t="e">
        <f ca="1">_xll.ESQuote("BEARDSELL.EQ-NSE","Symbol")</f>
        <v>#NAME?</v>
      </c>
      <c r="O163" s="2" t="e">
        <f ca="1">_xll.ESQuote("BEARDSELL.EQ-NSE","Volume")</f>
        <v>#NAME?</v>
      </c>
    </row>
    <row r="164" spans="1:15" x14ac:dyDescent="0.25">
      <c r="A164" s="1" t="s">
        <v>176</v>
      </c>
      <c r="B164" s="2" t="e">
        <f ca="1">_xll.ESQuote("BEDMUTHA.EQ-NSE","% Change")</f>
        <v>#NAME?</v>
      </c>
      <c r="C164" s="2" t="e">
        <f ca="1">_xll.ESQuote("BEDMUTHA.EQ-NSE","Change")</f>
        <v>#NAME?</v>
      </c>
      <c r="D164" s="2" t="e">
        <f ca="1">_xll.ESQuote("BEDMUTHA.EQ-NSE","Close")</f>
        <v>#NAME?</v>
      </c>
      <c r="E164" s="2" t="e">
        <f ca="1">_xll.ESQuote("BEDMUTHA.EQ-NSE","Company")</f>
        <v>#NAME?</v>
      </c>
      <c r="F164" s="2" t="e">
        <f ca="1">_xll.ESQuote("BEDMUTHA.EQ-NSE","Description")</f>
        <v>#NAME?</v>
      </c>
      <c r="G164" s="2" t="e">
        <f ca="1">_xll.ESQuote("BEDMUTHA.EQ-NSE","Exchange")</f>
        <v>#NAME?</v>
      </c>
      <c r="H164" s="2" t="e">
        <f ca="1">_xll.ESQuote("BEDMUTHA.EQ-NSE","High")</f>
        <v>#NAME?</v>
      </c>
      <c r="I164" s="2" t="e">
        <f ca="1">_xll.ESQuote("BEDMUTHA.EQ-NSE","Last")</f>
        <v>#NAME?</v>
      </c>
      <c r="J164" s="4" t="e">
        <f ca="1">_xll.ESQuote("BEDMUTHA.EQ-NSE","Last_Time")</f>
        <v>#NAME?</v>
      </c>
      <c r="K164" s="2" t="e">
        <f ca="1">_xll.ESQuote("BEDMUTHA.EQ-NSE","Low")</f>
        <v>#NAME?</v>
      </c>
      <c r="L164" s="2" t="e">
        <f ca="1">_xll.ESQuote("BEDMUTHA.EQ-NSE","Open")</f>
        <v>#NAME?</v>
      </c>
      <c r="M164" s="2" t="e">
        <f ca="1">_xll.ESQuote("BEDMUTHA.EQ-NSE","PrevPrice")</f>
        <v>#NAME?</v>
      </c>
      <c r="N164" s="2" t="e">
        <f ca="1">_xll.ESQuote("BEDMUTHA.EQ-NSE","Symbol")</f>
        <v>#NAME?</v>
      </c>
      <c r="O164" s="2" t="e">
        <f ca="1">_xll.ESQuote("BEDMUTHA.EQ-NSE","Volume")</f>
        <v>#NAME?</v>
      </c>
    </row>
    <row r="165" spans="1:15" x14ac:dyDescent="0.25">
      <c r="A165" s="1" t="s">
        <v>177</v>
      </c>
      <c r="B165" s="2" t="e">
        <f ca="1">_xll.ESQuote("BEL.EQ-NSE","% Change")</f>
        <v>#NAME?</v>
      </c>
      <c r="C165" s="2" t="e">
        <f ca="1">_xll.ESQuote("BEL.EQ-NSE","Change")</f>
        <v>#NAME?</v>
      </c>
      <c r="D165" s="2" t="e">
        <f ca="1">_xll.ESQuote("BEL.EQ-NSE","Close")</f>
        <v>#NAME?</v>
      </c>
      <c r="E165" s="2" t="e">
        <f ca="1">_xll.ESQuote("BEL.EQ-NSE","Company")</f>
        <v>#NAME?</v>
      </c>
      <c r="F165" s="2" t="e">
        <f ca="1">_xll.ESQuote("BEL.EQ-NSE","Description")</f>
        <v>#NAME?</v>
      </c>
      <c r="G165" s="2" t="e">
        <f ca="1">_xll.ESQuote("BEL.EQ-NSE","Exchange")</f>
        <v>#NAME?</v>
      </c>
      <c r="H165" s="2" t="e">
        <f ca="1">_xll.ESQuote("BEL.EQ-NSE","High")</f>
        <v>#NAME?</v>
      </c>
      <c r="I165" s="2" t="e">
        <f ca="1">_xll.ESQuote("BEL.EQ-NSE","Last")</f>
        <v>#NAME?</v>
      </c>
      <c r="J165" s="4" t="e">
        <f ca="1">_xll.ESQuote("BEL.EQ-NSE","Last_Time")</f>
        <v>#NAME?</v>
      </c>
      <c r="K165" s="2" t="e">
        <f ca="1">_xll.ESQuote("BEL.EQ-NSE","Low")</f>
        <v>#NAME?</v>
      </c>
      <c r="L165" s="2" t="e">
        <f ca="1">_xll.ESQuote("BEL.EQ-NSE","Open")</f>
        <v>#NAME?</v>
      </c>
      <c r="M165" s="2" t="e">
        <f ca="1">_xll.ESQuote("BEL.EQ-NSE","PrevPrice")</f>
        <v>#NAME?</v>
      </c>
      <c r="N165" s="2" t="e">
        <f ca="1">_xll.ESQuote("BEL.EQ-NSE","Symbol")</f>
        <v>#NAME?</v>
      </c>
      <c r="O165" s="2" t="e">
        <f ca="1">_xll.ESQuote("BEL.EQ-NSE","Volume")</f>
        <v>#NAME?</v>
      </c>
    </row>
    <row r="166" spans="1:15" x14ac:dyDescent="0.25">
      <c r="A166" s="1" t="s">
        <v>178</v>
      </c>
      <c r="B166" s="2" t="e">
        <f ca="1">_xll.ESQuote("BEML.EQ-NSE","% Change")</f>
        <v>#NAME?</v>
      </c>
      <c r="C166" s="2" t="e">
        <f ca="1">_xll.ESQuote("BEML.EQ-NSE","Change")</f>
        <v>#NAME?</v>
      </c>
      <c r="D166" s="2" t="e">
        <f ca="1">_xll.ESQuote("BEML.EQ-NSE","Close")</f>
        <v>#NAME?</v>
      </c>
      <c r="E166" s="2" t="e">
        <f ca="1">_xll.ESQuote("BEML.EQ-NSE","Company")</f>
        <v>#NAME?</v>
      </c>
      <c r="F166" s="2" t="e">
        <f ca="1">_xll.ESQuote("BEML.EQ-NSE","Description")</f>
        <v>#NAME?</v>
      </c>
      <c r="G166" s="2" t="e">
        <f ca="1">_xll.ESQuote("BEML.EQ-NSE","Exchange")</f>
        <v>#NAME?</v>
      </c>
      <c r="H166" s="2" t="e">
        <f ca="1">_xll.ESQuote("BEML.EQ-NSE","High")</f>
        <v>#NAME?</v>
      </c>
      <c r="I166" s="2" t="e">
        <f ca="1">_xll.ESQuote("BEML.EQ-NSE","Last")</f>
        <v>#NAME?</v>
      </c>
      <c r="J166" s="4" t="e">
        <f ca="1">_xll.ESQuote("BEML.EQ-NSE","Last_Time")</f>
        <v>#NAME?</v>
      </c>
      <c r="K166" s="2" t="e">
        <f ca="1">_xll.ESQuote("BEML.EQ-NSE","Low")</f>
        <v>#NAME?</v>
      </c>
      <c r="L166" s="2" t="e">
        <f ca="1">_xll.ESQuote("BEML.EQ-NSE","Open")</f>
        <v>#NAME?</v>
      </c>
      <c r="M166" s="2" t="e">
        <f ca="1">_xll.ESQuote("BEML.EQ-NSE","PrevPrice")</f>
        <v>#NAME?</v>
      </c>
      <c r="N166" s="2" t="e">
        <f ca="1">_xll.ESQuote("BEML.EQ-NSE","Symbol")</f>
        <v>#NAME?</v>
      </c>
      <c r="O166" s="2" t="e">
        <f ca="1">_xll.ESQuote("BEML.EQ-NSE","Volume")</f>
        <v>#NAME?</v>
      </c>
    </row>
    <row r="167" spans="1:15" x14ac:dyDescent="0.25">
      <c r="A167" s="1" t="s">
        <v>179</v>
      </c>
      <c r="B167" s="2" t="e">
        <f ca="1">_xll.ESQuote("BEPL.EQ-NSE","% Change")</f>
        <v>#NAME?</v>
      </c>
      <c r="C167" s="2" t="e">
        <f ca="1">_xll.ESQuote("BEPL.EQ-NSE","Change")</f>
        <v>#NAME?</v>
      </c>
      <c r="D167" s="2" t="e">
        <f ca="1">_xll.ESQuote("BEPL.EQ-NSE","Close")</f>
        <v>#NAME?</v>
      </c>
      <c r="E167" s="2" t="e">
        <f ca="1">_xll.ESQuote("BEPL.EQ-NSE","Company")</f>
        <v>#NAME?</v>
      </c>
      <c r="F167" s="2" t="e">
        <f ca="1">_xll.ESQuote("BEPL.EQ-NSE","Description")</f>
        <v>#NAME?</v>
      </c>
      <c r="G167" s="2" t="e">
        <f ca="1">_xll.ESQuote("BEPL.EQ-NSE","Exchange")</f>
        <v>#NAME?</v>
      </c>
      <c r="H167" s="2" t="e">
        <f ca="1">_xll.ESQuote("BEPL.EQ-NSE","High")</f>
        <v>#NAME?</v>
      </c>
      <c r="I167" s="2" t="e">
        <f ca="1">_xll.ESQuote("BEPL.EQ-NSE","Last")</f>
        <v>#NAME?</v>
      </c>
      <c r="J167" s="4" t="e">
        <f ca="1">_xll.ESQuote("BEPL.EQ-NSE","Last_Time")</f>
        <v>#NAME?</v>
      </c>
      <c r="K167" s="2" t="e">
        <f ca="1">_xll.ESQuote("BEPL.EQ-NSE","Low")</f>
        <v>#NAME?</v>
      </c>
      <c r="L167" s="2" t="e">
        <f ca="1">_xll.ESQuote("BEPL.EQ-NSE","Open")</f>
        <v>#NAME?</v>
      </c>
      <c r="M167" s="2" t="e">
        <f ca="1">_xll.ESQuote("BEPL.EQ-NSE","PrevPrice")</f>
        <v>#NAME?</v>
      </c>
      <c r="N167" s="2" t="e">
        <f ca="1">_xll.ESQuote("BEPL.EQ-NSE","Symbol")</f>
        <v>#NAME?</v>
      </c>
      <c r="O167" s="2" t="e">
        <f ca="1">_xll.ESQuote("BEPL.EQ-NSE","Volume")</f>
        <v>#NAME?</v>
      </c>
    </row>
    <row r="168" spans="1:15" x14ac:dyDescent="0.25">
      <c r="A168" s="1" t="s">
        <v>180</v>
      </c>
      <c r="B168" s="2" t="e">
        <f ca="1">_xll.ESQuote("BERGEPAINT.EQ-NSE","% Change")</f>
        <v>#NAME?</v>
      </c>
      <c r="C168" s="2" t="e">
        <f ca="1">_xll.ESQuote("BERGEPAINT.EQ-NSE","Change")</f>
        <v>#NAME?</v>
      </c>
      <c r="D168" s="2" t="e">
        <f ca="1">_xll.ESQuote("BERGEPAINT.EQ-NSE","Close")</f>
        <v>#NAME?</v>
      </c>
      <c r="E168" s="2" t="e">
        <f ca="1">_xll.ESQuote("BERGEPAINT.EQ-NSE","Company")</f>
        <v>#NAME?</v>
      </c>
      <c r="F168" s="2" t="e">
        <f ca="1">_xll.ESQuote("BERGEPAINT.EQ-NSE","Description")</f>
        <v>#NAME?</v>
      </c>
      <c r="G168" s="2" t="e">
        <f ca="1">_xll.ESQuote("BERGEPAINT.EQ-NSE","Exchange")</f>
        <v>#NAME?</v>
      </c>
      <c r="H168" s="2" t="e">
        <f ca="1">_xll.ESQuote("BERGEPAINT.EQ-NSE","High")</f>
        <v>#NAME?</v>
      </c>
      <c r="I168" s="2" t="e">
        <f ca="1">_xll.ESQuote("BERGEPAINT.EQ-NSE","Last")</f>
        <v>#NAME?</v>
      </c>
      <c r="J168" s="4" t="e">
        <f ca="1">_xll.ESQuote("BERGEPAINT.EQ-NSE","Last_Time")</f>
        <v>#NAME?</v>
      </c>
      <c r="K168" s="2" t="e">
        <f ca="1">_xll.ESQuote("BERGEPAINT.EQ-NSE","Low")</f>
        <v>#NAME?</v>
      </c>
      <c r="L168" s="2" t="e">
        <f ca="1">_xll.ESQuote("BERGEPAINT.EQ-NSE","Open")</f>
        <v>#NAME?</v>
      </c>
      <c r="M168" s="2" t="e">
        <f ca="1">_xll.ESQuote("BERGEPAINT.EQ-NSE","PrevPrice")</f>
        <v>#NAME?</v>
      </c>
      <c r="N168" s="2" t="e">
        <f ca="1">_xll.ESQuote("BERGEPAINT.EQ-NSE","Symbol")</f>
        <v>#NAME?</v>
      </c>
      <c r="O168" s="2" t="e">
        <f ca="1">_xll.ESQuote("BERGEPAINT.EQ-NSE","Volume")</f>
        <v>#NAME?</v>
      </c>
    </row>
    <row r="169" spans="1:15" x14ac:dyDescent="0.25">
      <c r="A169" s="1" t="s">
        <v>181</v>
      </c>
      <c r="B169" s="2" t="e">
        <f ca="1">_xll.ESQuote("BFINVEST.EQ-NSE","% Change")</f>
        <v>#NAME?</v>
      </c>
      <c r="C169" s="2" t="e">
        <f ca="1">_xll.ESQuote("BFINVEST.EQ-NSE","Change")</f>
        <v>#NAME?</v>
      </c>
      <c r="D169" s="2" t="e">
        <f ca="1">_xll.ESQuote("BFINVEST.EQ-NSE","Close")</f>
        <v>#NAME?</v>
      </c>
      <c r="E169" s="2" t="e">
        <f ca="1">_xll.ESQuote("BFINVEST.EQ-NSE","Company")</f>
        <v>#NAME?</v>
      </c>
      <c r="F169" s="2" t="e">
        <f ca="1">_xll.ESQuote("BFINVEST.EQ-NSE","Description")</f>
        <v>#NAME?</v>
      </c>
      <c r="G169" s="2" t="e">
        <f ca="1">_xll.ESQuote("BFINVEST.EQ-NSE","Exchange")</f>
        <v>#NAME?</v>
      </c>
      <c r="H169" s="2" t="e">
        <f ca="1">_xll.ESQuote("BFINVEST.EQ-NSE","High")</f>
        <v>#NAME?</v>
      </c>
      <c r="I169" s="2" t="e">
        <f ca="1">_xll.ESQuote("BFINVEST.EQ-NSE","Last")</f>
        <v>#NAME?</v>
      </c>
      <c r="J169" s="4" t="e">
        <f ca="1">_xll.ESQuote("BFINVEST.EQ-NSE","Last_Time")</f>
        <v>#NAME?</v>
      </c>
      <c r="K169" s="2" t="e">
        <f ca="1">_xll.ESQuote("BFINVEST.EQ-NSE","Low")</f>
        <v>#NAME?</v>
      </c>
      <c r="L169" s="2" t="e">
        <f ca="1">_xll.ESQuote("BFINVEST.EQ-NSE","Open")</f>
        <v>#NAME?</v>
      </c>
      <c r="M169" s="2" t="e">
        <f ca="1">_xll.ESQuote("BFINVEST.EQ-NSE","PrevPrice")</f>
        <v>#NAME?</v>
      </c>
      <c r="N169" s="2" t="e">
        <f ca="1">_xll.ESQuote("BFINVEST.EQ-NSE","Symbol")</f>
        <v>#NAME?</v>
      </c>
      <c r="O169" s="2" t="e">
        <f ca="1">_xll.ESQuote("BFINVEST.EQ-NSE","Volume")</f>
        <v>#NAME?</v>
      </c>
    </row>
    <row r="170" spans="1:15" x14ac:dyDescent="0.25">
      <c r="A170" s="1" t="s">
        <v>182</v>
      </c>
      <c r="B170" s="2" t="e">
        <f ca="1">_xll.ESQuote("BFUTILITIE.EQ-NSE","% Change")</f>
        <v>#NAME?</v>
      </c>
      <c r="C170" s="2" t="e">
        <f ca="1">_xll.ESQuote("BFUTILITIE.EQ-NSE","Change")</f>
        <v>#NAME?</v>
      </c>
      <c r="D170" s="2" t="e">
        <f ca="1">_xll.ESQuote("BFUTILITIE.EQ-NSE","Close")</f>
        <v>#NAME?</v>
      </c>
      <c r="E170" s="2" t="e">
        <f ca="1">_xll.ESQuote("BFUTILITIE.EQ-NSE","Company")</f>
        <v>#NAME?</v>
      </c>
      <c r="F170" s="2" t="e">
        <f ca="1">_xll.ESQuote("BFUTILITIE.EQ-NSE","Description")</f>
        <v>#NAME?</v>
      </c>
      <c r="G170" s="2" t="e">
        <f ca="1">_xll.ESQuote("BFUTILITIE.EQ-NSE","Exchange")</f>
        <v>#NAME?</v>
      </c>
      <c r="H170" s="2" t="e">
        <f ca="1">_xll.ESQuote("BFUTILITIE.EQ-NSE","High")</f>
        <v>#NAME?</v>
      </c>
      <c r="I170" s="2" t="e">
        <f ca="1">_xll.ESQuote("BFUTILITIE.EQ-NSE","Last")</f>
        <v>#NAME?</v>
      </c>
      <c r="J170" s="4" t="e">
        <f ca="1">_xll.ESQuote("BFUTILITIE.EQ-NSE","Last_Time")</f>
        <v>#NAME?</v>
      </c>
      <c r="K170" s="2" t="e">
        <f ca="1">_xll.ESQuote("BFUTILITIE.EQ-NSE","Low")</f>
        <v>#NAME?</v>
      </c>
      <c r="L170" s="2" t="e">
        <f ca="1">_xll.ESQuote("BFUTILITIE.EQ-NSE","Open")</f>
        <v>#NAME?</v>
      </c>
      <c r="M170" s="2" t="e">
        <f ca="1">_xll.ESQuote("BFUTILITIE.EQ-NSE","PrevPrice")</f>
        <v>#NAME?</v>
      </c>
      <c r="N170" s="2" t="e">
        <f ca="1">_xll.ESQuote("BFUTILITIE.EQ-NSE","Symbol")</f>
        <v>#NAME?</v>
      </c>
      <c r="O170" s="2" t="e">
        <f ca="1">_xll.ESQuote("BFUTILITIE.EQ-NSE","Volume")</f>
        <v>#NAME?</v>
      </c>
    </row>
    <row r="171" spans="1:15" x14ac:dyDescent="0.25">
      <c r="A171" s="1" t="s">
        <v>183</v>
      </c>
      <c r="B171" s="2" t="e">
        <f ca="1">_xll.ESQuote("BGLOBAL.EQ-NSE","% Change")</f>
        <v>#NAME?</v>
      </c>
      <c r="C171" s="2" t="e">
        <f ca="1">_xll.ESQuote("BGLOBAL.EQ-NSE","Change")</f>
        <v>#NAME?</v>
      </c>
      <c r="D171" s="2" t="e">
        <f ca="1">_xll.ESQuote("BGLOBAL.EQ-NSE","Close")</f>
        <v>#NAME?</v>
      </c>
      <c r="E171" s="2" t="e">
        <f ca="1">_xll.ESQuote("BGLOBAL.EQ-NSE","Company")</f>
        <v>#NAME?</v>
      </c>
      <c r="F171" s="2" t="e">
        <f ca="1">_xll.ESQuote("BGLOBAL.EQ-NSE","Description")</f>
        <v>#NAME?</v>
      </c>
      <c r="G171" s="2" t="e">
        <f ca="1">_xll.ESQuote("BGLOBAL.EQ-NSE","Exchange")</f>
        <v>#NAME?</v>
      </c>
      <c r="H171" s="2" t="e">
        <f ca="1">_xll.ESQuote("BGLOBAL.EQ-NSE","High")</f>
        <v>#NAME?</v>
      </c>
      <c r="I171" s="2" t="e">
        <f ca="1">_xll.ESQuote("BGLOBAL.EQ-NSE","Last")</f>
        <v>#NAME?</v>
      </c>
      <c r="J171" s="4" t="e">
        <f ca="1">_xll.ESQuote("BGLOBAL.EQ-NSE","Last_Time")</f>
        <v>#NAME?</v>
      </c>
      <c r="K171" s="2" t="e">
        <f ca="1">_xll.ESQuote("BGLOBAL.EQ-NSE","Low")</f>
        <v>#NAME?</v>
      </c>
      <c r="L171" s="2" t="e">
        <f ca="1">_xll.ESQuote("BGLOBAL.EQ-NSE","Open")</f>
        <v>#NAME?</v>
      </c>
      <c r="M171" s="2" t="e">
        <f ca="1">_xll.ESQuote("BGLOBAL.EQ-NSE","PrevPrice")</f>
        <v>#NAME?</v>
      </c>
      <c r="N171" s="2" t="e">
        <f ca="1">_xll.ESQuote("BGLOBAL.EQ-NSE","Symbol")</f>
        <v>#NAME?</v>
      </c>
      <c r="O171" s="2" t="e">
        <f ca="1">_xll.ESQuote("BGLOBAL.EQ-NSE","Volume")</f>
        <v>#NAME?</v>
      </c>
    </row>
    <row r="172" spans="1:15" x14ac:dyDescent="0.25">
      <c r="A172" s="1" t="s">
        <v>184</v>
      </c>
      <c r="B172" s="2" t="e">
        <f ca="1">_xll.ESQuote("BGRENERGY.EQ-NSE","% Change")</f>
        <v>#NAME?</v>
      </c>
      <c r="C172" s="2" t="e">
        <f ca="1">_xll.ESQuote("BGRENERGY.EQ-NSE","Change")</f>
        <v>#NAME?</v>
      </c>
      <c r="D172" s="2" t="e">
        <f ca="1">_xll.ESQuote("BGRENERGY.EQ-NSE","Close")</f>
        <v>#NAME?</v>
      </c>
      <c r="E172" s="2" t="e">
        <f ca="1">_xll.ESQuote("BGRENERGY.EQ-NSE","Company")</f>
        <v>#NAME?</v>
      </c>
      <c r="F172" s="2" t="e">
        <f ca="1">_xll.ESQuote("BGRENERGY.EQ-NSE","Description")</f>
        <v>#NAME?</v>
      </c>
      <c r="G172" s="2" t="e">
        <f ca="1">_xll.ESQuote("BGRENERGY.EQ-NSE","Exchange")</f>
        <v>#NAME?</v>
      </c>
      <c r="H172" s="2" t="e">
        <f ca="1">_xll.ESQuote("BGRENERGY.EQ-NSE","High")</f>
        <v>#NAME?</v>
      </c>
      <c r="I172" s="2" t="e">
        <f ca="1">_xll.ESQuote("BGRENERGY.EQ-NSE","Last")</f>
        <v>#NAME?</v>
      </c>
      <c r="J172" s="4" t="e">
        <f ca="1">_xll.ESQuote("BGRENERGY.EQ-NSE","Last_Time")</f>
        <v>#NAME?</v>
      </c>
      <c r="K172" s="2" t="e">
        <f ca="1">_xll.ESQuote("BGRENERGY.EQ-NSE","Low")</f>
        <v>#NAME?</v>
      </c>
      <c r="L172" s="2" t="e">
        <f ca="1">_xll.ESQuote("BGRENERGY.EQ-NSE","Open")</f>
        <v>#NAME?</v>
      </c>
      <c r="M172" s="2" t="e">
        <f ca="1">_xll.ESQuote("BGRENERGY.EQ-NSE","PrevPrice")</f>
        <v>#NAME?</v>
      </c>
      <c r="N172" s="2" t="e">
        <f ca="1">_xll.ESQuote("BGRENERGY.EQ-NSE","Symbol")</f>
        <v>#NAME?</v>
      </c>
      <c r="O172" s="2" t="e">
        <f ca="1">_xll.ESQuote("BGRENERGY.EQ-NSE","Volume")</f>
        <v>#NAME?</v>
      </c>
    </row>
    <row r="173" spans="1:15" x14ac:dyDescent="0.25">
      <c r="A173" s="1" t="s">
        <v>185</v>
      </c>
      <c r="B173" s="2" t="e">
        <f ca="1">_xll.ESQuote("BHAGYNAGAR.EQ-NSE","% Change")</f>
        <v>#NAME?</v>
      </c>
      <c r="C173" s="2" t="e">
        <f ca="1">_xll.ESQuote("BHAGYNAGAR.EQ-NSE","Change")</f>
        <v>#NAME?</v>
      </c>
      <c r="D173" s="2" t="e">
        <f ca="1">_xll.ESQuote("BHAGYNAGAR.EQ-NSE","Close")</f>
        <v>#NAME?</v>
      </c>
      <c r="E173" s="2" t="e">
        <f ca="1">_xll.ESQuote("BHAGYNAGAR.EQ-NSE","Company")</f>
        <v>#NAME?</v>
      </c>
      <c r="F173" s="2" t="e">
        <f ca="1">_xll.ESQuote("BHAGYNAGAR.EQ-NSE","Description")</f>
        <v>#NAME?</v>
      </c>
      <c r="G173" s="2" t="e">
        <f ca="1">_xll.ESQuote("BHAGYNAGAR.EQ-NSE","Exchange")</f>
        <v>#NAME?</v>
      </c>
      <c r="H173" s="2" t="e">
        <f ca="1">_xll.ESQuote("BHAGYNAGAR.EQ-NSE","High")</f>
        <v>#NAME?</v>
      </c>
      <c r="I173" s="2" t="e">
        <f ca="1">_xll.ESQuote("BHAGYNAGAR.EQ-NSE","Last")</f>
        <v>#NAME?</v>
      </c>
      <c r="J173" s="4" t="e">
        <f ca="1">_xll.ESQuote("BHAGYNAGAR.EQ-NSE","Last_Time")</f>
        <v>#NAME?</v>
      </c>
      <c r="K173" s="2" t="e">
        <f ca="1">_xll.ESQuote("BHAGYNAGAR.EQ-NSE","Low")</f>
        <v>#NAME?</v>
      </c>
      <c r="L173" s="2" t="e">
        <f ca="1">_xll.ESQuote("BHAGYNAGAR.EQ-NSE","Open")</f>
        <v>#NAME?</v>
      </c>
      <c r="M173" s="2" t="e">
        <f ca="1">_xll.ESQuote("BHAGYNAGAR.EQ-NSE","PrevPrice")</f>
        <v>#NAME?</v>
      </c>
      <c r="N173" s="2" t="e">
        <f ca="1">_xll.ESQuote("BHAGYNAGAR.EQ-NSE","Symbol")</f>
        <v>#NAME?</v>
      </c>
      <c r="O173" s="2" t="e">
        <f ca="1">_xll.ESQuote("BHAGYNAGAR.EQ-NSE","Volume")</f>
        <v>#NAME?</v>
      </c>
    </row>
    <row r="174" spans="1:15" x14ac:dyDescent="0.25">
      <c r="A174" s="1" t="s">
        <v>186</v>
      </c>
      <c r="B174" s="2" t="e">
        <f ca="1">_xll.ESQuote("BHARATFORG.EQ-NSE","% Change")</f>
        <v>#NAME?</v>
      </c>
      <c r="C174" s="2" t="e">
        <f ca="1">_xll.ESQuote("BHARATFORG.EQ-NSE","Change")</f>
        <v>#NAME?</v>
      </c>
      <c r="D174" s="2" t="e">
        <f ca="1">_xll.ESQuote("BHARATFORG.EQ-NSE","Close")</f>
        <v>#NAME?</v>
      </c>
      <c r="E174" s="2" t="e">
        <f ca="1">_xll.ESQuote("BHARATFORG.EQ-NSE","Company")</f>
        <v>#NAME?</v>
      </c>
      <c r="F174" s="2" t="e">
        <f ca="1">_xll.ESQuote("BHARATFORG.EQ-NSE","Description")</f>
        <v>#NAME?</v>
      </c>
      <c r="G174" s="2" t="e">
        <f ca="1">_xll.ESQuote("BHARATFORG.EQ-NSE","Exchange")</f>
        <v>#NAME?</v>
      </c>
      <c r="H174" s="2" t="e">
        <f ca="1">_xll.ESQuote("BHARATFORG.EQ-NSE","High")</f>
        <v>#NAME?</v>
      </c>
      <c r="I174" s="2" t="e">
        <f ca="1">_xll.ESQuote("BHARATFORG.EQ-NSE","Last")</f>
        <v>#NAME?</v>
      </c>
      <c r="J174" s="4" t="e">
        <f ca="1">_xll.ESQuote("BHARATFORG.EQ-NSE","Last_Time")</f>
        <v>#NAME?</v>
      </c>
      <c r="K174" s="2" t="e">
        <f ca="1">_xll.ESQuote("BHARATFORG.EQ-NSE","Low")</f>
        <v>#NAME?</v>
      </c>
      <c r="L174" s="2" t="e">
        <f ca="1">_xll.ESQuote("BHARATFORG.EQ-NSE","Open")</f>
        <v>#NAME?</v>
      </c>
      <c r="M174" s="2" t="e">
        <f ca="1">_xll.ESQuote("BHARATFORG.EQ-NSE","PrevPrice")</f>
        <v>#NAME?</v>
      </c>
      <c r="N174" s="2" t="e">
        <f ca="1">_xll.ESQuote("BHARATFORG.EQ-NSE","Symbol")</f>
        <v>#NAME?</v>
      </c>
      <c r="O174" s="2" t="e">
        <f ca="1">_xll.ESQuote("BHARATFORG.EQ-NSE","Volume")</f>
        <v>#NAME?</v>
      </c>
    </row>
    <row r="175" spans="1:15" x14ac:dyDescent="0.25">
      <c r="A175" s="1" t="s">
        <v>187</v>
      </c>
      <c r="B175" s="2" t="e">
        <f ca="1">_xll.ESQuote("BHARATGEAR.EQ-NSE","% Change")</f>
        <v>#NAME?</v>
      </c>
      <c r="C175" s="2" t="e">
        <f ca="1">_xll.ESQuote("BHARATGEAR.EQ-NSE","Change")</f>
        <v>#NAME?</v>
      </c>
      <c r="D175" s="2" t="e">
        <f ca="1">_xll.ESQuote("BHARATGEAR.EQ-NSE","Close")</f>
        <v>#NAME?</v>
      </c>
      <c r="E175" s="2" t="e">
        <f ca="1">_xll.ESQuote("BHARATGEAR.EQ-NSE","Company")</f>
        <v>#NAME?</v>
      </c>
      <c r="F175" s="2" t="e">
        <f ca="1">_xll.ESQuote("BHARATGEAR.EQ-NSE","Description")</f>
        <v>#NAME?</v>
      </c>
      <c r="G175" s="2" t="e">
        <f ca="1">_xll.ESQuote("BHARATGEAR.EQ-NSE","Exchange")</f>
        <v>#NAME?</v>
      </c>
      <c r="H175" s="2" t="e">
        <f ca="1">_xll.ESQuote("BHARATGEAR.EQ-NSE","High")</f>
        <v>#NAME?</v>
      </c>
      <c r="I175" s="2" t="e">
        <f ca="1">_xll.ESQuote("BHARATGEAR.EQ-NSE","Last")</f>
        <v>#NAME?</v>
      </c>
      <c r="J175" s="4" t="e">
        <f ca="1">_xll.ESQuote("BHARATGEAR.EQ-NSE","Last_Time")</f>
        <v>#NAME?</v>
      </c>
      <c r="K175" s="2" t="e">
        <f ca="1">_xll.ESQuote("BHARATGEAR.EQ-NSE","Low")</f>
        <v>#NAME?</v>
      </c>
      <c r="L175" s="2" t="e">
        <f ca="1">_xll.ESQuote("BHARATGEAR.EQ-NSE","Open")</f>
        <v>#NAME?</v>
      </c>
      <c r="M175" s="2" t="e">
        <f ca="1">_xll.ESQuote("BHARATGEAR.EQ-NSE","PrevPrice")</f>
        <v>#NAME?</v>
      </c>
      <c r="N175" s="2" t="e">
        <f ca="1">_xll.ESQuote("BHARATGEAR.EQ-NSE","Symbol")</f>
        <v>#NAME?</v>
      </c>
      <c r="O175" s="2" t="e">
        <f ca="1">_xll.ESQuote("BHARATGEAR.EQ-NSE","Volume")</f>
        <v>#NAME?</v>
      </c>
    </row>
    <row r="176" spans="1:15" x14ac:dyDescent="0.25">
      <c r="A176" s="1" t="s">
        <v>188</v>
      </c>
      <c r="B176" s="2" t="e">
        <f ca="1">_xll.ESQuote("BHARATRAS.EQ-NSE","% Change")</f>
        <v>#NAME?</v>
      </c>
      <c r="C176" s="2" t="e">
        <f ca="1">_xll.ESQuote("BHARATRAS.EQ-NSE","Change")</f>
        <v>#NAME?</v>
      </c>
      <c r="D176" s="2" t="e">
        <f ca="1">_xll.ESQuote("BHARATRAS.EQ-NSE","Close")</f>
        <v>#NAME?</v>
      </c>
      <c r="E176" s="2" t="e">
        <f ca="1">_xll.ESQuote("BHARATRAS.EQ-NSE","Company")</f>
        <v>#NAME?</v>
      </c>
      <c r="F176" s="2" t="e">
        <f ca="1">_xll.ESQuote("BHARATRAS.EQ-NSE","Description")</f>
        <v>#NAME?</v>
      </c>
      <c r="G176" s="2" t="e">
        <f ca="1">_xll.ESQuote("BHARATRAS.EQ-NSE","Exchange")</f>
        <v>#NAME?</v>
      </c>
      <c r="H176" s="2" t="e">
        <f ca="1">_xll.ESQuote("BHARATRAS.EQ-NSE","High")</f>
        <v>#NAME?</v>
      </c>
      <c r="I176" s="2" t="e">
        <f ca="1">_xll.ESQuote("BHARATRAS.EQ-NSE","Last")</f>
        <v>#NAME?</v>
      </c>
      <c r="J176" s="4" t="e">
        <f ca="1">_xll.ESQuote("BHARATRAS.EQ-NSE","Last_Time")</f>
        <v>#NAME?</v>
      </c>
      <c r="K176" s="2" t="e">
        <f ca="1">_xll.ESQuote("BHARATRAS.EQ-NSE","Low")</f>
        <v>#NAME?</v>
      </c>
      <c r="L176" s="2" t="e">
        <f ca="1">_xll.ESQuote("BHARATRAS.EQ-NSE","Open")</f>
        <v>#NAME?</v>
      </c>
      <c r="M176" s="2" t="e">
        <f ca="1">_xll.ESQuote("BHARATRAS.EQ-NSE","PrevPrice")</f>
        <v>#NAME?</v>
      </c>
      <c r="N176" s="2" t="e">
        <f ca="1">_xll.ESQuote("BHARATRAS.EQ-NSE","Symbol")</f>
        <v>#NAME?</v>
      </c>
      <c r="O176" s="2" t="e">
        <f ca="1">_xll.ESQuote("BHARATRAS.EQ-NSE","Volume")</f>
        <v>#NAME?</v>
      </c>
    </row>
    <row r="177" spans="1:15" x14ac:dyDescent="0.25">
      <c r="A177" s="1" t="s">
        <v>189</v>
      </c>
      <c r="B177" s="2" t="e">
        <f ca="1">_xll.ESQuote("BHARTIARTL.EQ-NSE","% Change")</f>
        <v>#NAME?</v>
      </c>
      <c r="C177" s="2" t="e">
        <f ca="1">_xll.ESQuote("BHARTIARTL.EQ-NSE","Change")</f>
        <v>#NAME?</v>
      </c>
      <c r="D177" s="2" t="e">
        <f ca="1">_xll.ESQuote("BHARTIARTL.EQ-NSE","Close")</f>
        <v>#NAME?</v>
      </c>
      <c r="E177" s="2" t="e">
        <f ca="1">_xll.ESQuote("BHARTIARTL.EQ-NSE","Company")</f>
        <v>#NAME?</v>
      </c>
      <c r="F177" s="2" t="e">
        <f ca="1">_xll.ESQuote("BHARTIARTL.EQ-NSE","Description")</f>
        <v>#NAME?</v>
      </c>
      <c r="G177" s="2" t="e">
        <f ca="1">_xll.ESQuote("BHARTIARTL.EQ-NSE","Exchange")</f>
        <v>#NAME?</v>
      </c>
      <c r="H177" s="2" t="e">
        <f ca="1">_xll.ESQuote("BHARTIARTL.EQ-NSE","High")</f>
        <v>#NAME?</v>
      </c>
      <c r="I177" s="2" t="e">
        <f ca="1">_xll.ESQuote("BHARTIARTL.EQ-NSE","Last")</f>
        <v>#NAME?</v>
      </c>
      <c r="J177" s="4" t="e">
        <f ca="1">_xll.ESQuote("BHARTIARTL.EQ-NSE","Last_Time")</f>
        <v>#NAME?</v>
      </c>
      <c r="K177" s="2" t="e">
        <f ca="1">_xll.ESQuote("BHARTIARTL.EQ-NSE","Low")</f>
        <v>#NAME?</v>
      </c>
      <c r="L177" s="2" t="e">
        <f ca="1">_xll.ESQuote("BHARTIARTL.EQ-NSE","Open")</f>
        <v>#NAME?</v>
      </c>
      <c r="M177" s="2" t="e">
        <f ca="1">_xll.ESQuote("BHARTIARTL.EQ-NSE","PrevPrice")</f>
        <v>#NAME?</v>
      </c>
      <c r="N177" s="2" t="e">
        <f ca="1">_xll.ESQuote("BHARTIARTL.EQ-NSE","Symbol")</f>
        <v>#NAME?</v>
      </c>
      <c r="O177" s="2" t="e">
        <f ca="1">_xll.ESQuote("BHARTIARTL.EQ-NSE","Volume")</f>
        <v>#NAME?</v>
      </c>
    </row>
    <row r="178" spans="1:15" x14ac:dyDescent="0.25">
      <c r="A178" s="1" t="s">
        <v>190</v>
      </c>
      <c r="B178" s="2" t="e">
        <f ca="1">_xll.ESQuote("BHEL.EQ-NSE","% Change")</f>
        <v>#NAME?</v>
      </c>
      <c r="C178" s="2" t="e">
        <f ca="1">_xll.ESQuote("BHEL.EQ-NSE","Change")</f>
        <v>#NAME?</v>
      </c>
      <c r="D178" s="2" t="e">
        <f ca="1">_xll.ESQuote("BHEL.EQ-NSE","Close")</f>
        <v>#NAME?</v>
      </c>
      <c r="E178" s="2" t="e">
        <f ca="1">_xll.ESQuote("BHEL.EQ-NSE","Company")</f>
        <v>#NAME?</v>
      </c>
      <c r="F178" s="2" t="e">
        <f ca="1">_xll.ESQuote("BHEL.EQ-NSE","Description")</f>
        <v>#NAME?</v>
      </c>
      <c r="G178" s="2" t="e">
        <f ca="1">_xll.ESQuote("BHEL.EQ-NSE","Exchange")</f>
        <v>#NAME?</v>
      </c>
      <c r="H178" s="2" t="e">
        <f ca="1">_xll.ESQuote("BHEL.EQ-NSE","High")</f>
        <v>#NAME?</v>
      </c>
      <c r="I178" s="2" t="e">
        <f ca="1">_xll.ESQuote("BHEL.EQ-NSE","Last")</f>
        <v>#NAME?</v>
      </c>
      <c r="J178" s="4" t="e">
        <f ca="1">_xll.ESQuote("BHEL.EQ-NSE","Last_Time")</f>
        <v>#NAME?</v>
      </c>
      <c r="K178" s="2" t="e">
        <f ca="1">_xll.ESQuote("BHEL.EQ-NSE","Low")</f>
        <v>#NAME?</v>
      </c>
      <c r="L178" s="2" t="e">
        <f ca="1">_xll.ESQuote("BHEL.EQ-NSE","Open")</f>
        <v>#NAME?</v>
      </c>
      <c r="M178" s="2" t="e">
        <f ca="1">_xll.ESQuote("BHEL.EQ-NSE","PrevPrice")</f>
        <v>#NAME?</v>
      </c>
      <c r="N178" s="2" t="e">
        <f ca="1">_xll.ESQuote("BHEL.EQ-NSE","Symbol")</f>
        <v>#NAME?</v>
      </c>
      <c r="O178" s="2" t="e">
        <f ca="1">_xll.ESQuote("BHEL.EQ-NSE","Volume")</f>
        <v>#NAME?</v>
      </c>
    </row>
    <row r="179" spans="1:15" x14ac:dyDescent="0.25">
      <c r="A179" s="1" t="s">
        <v>191</v>
      </c>
      <c r="B179" s="2" t="e">
        <f ca="1">_xll.ESQuote("BHUSANSTL.EQ-NSE","% Change")</f>
        <v>#NAME?</v>
      </c>
      <c r="C179" s="2" t="e">
        <f ca="1">_xll.ESQuote("BHUSANSTL.EQ-NSE","Change")</f>
        <v>#NAME?</v>
      </c>
      <c r="D179" s="2" t="e">
        <f ca="1">_xll.ESQuote("BHUSANSTL.EQ-NSE","Close")</f>
        <v>#NAME?</v>
      </c>
      <c r="E179" s="2" t="e">
        <f ca="1">_xll.ESQuote("BHUSANSTL.EQ-NSE","Company")</f>
        <v>#NAME?</v>
      </c>
      <c r="F179" s="2" t="e">
        <f ca="1">_xll.ESQuote("BHUSANSTL.EQ-NSE","Description")</f>
        <v>#NAME?</v>
      </c>
      <c r="G179" s="2" t="e">
        <f ca="1">_xll.ESQuote("BHUSANSTL.EQ-NSE","Exchange")</f>
        <v>#NAME?</v>
      </c>
      <c r="H179" s="2" t="e">
        <f ca="1">_xll.ESQuote("BHUSANSTL.EQ-NSE","High")</f>
        <v>#NAME?</v>
      </c>
      <c r="I179" s="2" t="e">
        <f ca="1">_xll.ESQuote("BHUSANSTL.EQ-NSE","Last")</f>
        <v>#NAME?</v>
      </c>
      <c r="J179" s="4" t="e">
        <f ca="1">_xll.ESQuote("BHUSANSTL.EQ-NSE","Last_Time")</f>
        <v>#NAME?</v>
      </c>
      <c r="K179" s="2" t="e">
        <f ca="1">_xll.ESQuote("BHUSANSTL.EQ-NSE","Low")</f>
        <v>#NAME?</v>
      </c>
      <c r="L179" s="2" t="e">
        <f ca="1">_xll.ESQuote("BHUSANSTL.EQ-NSE","Open")</f>
        <v>#NAME?</v>
      </c>
      <c r="M179" s="2" t="e">
        <f ca="1">_xll.ESQuote("BHUSANSTL.EQ-NSE","PrevPrice")</f>
        <v>#NAME?</v>
      </c>
      <c r="N179" s="2" t="e">
        <f ca="1">_xll.ESQuote("BHUSANSTL.EQ-NSE","Symbol")</f>
        <v>#NAME?</v>
      </c>
      <c r="O179" s="2" t="e">
        <f ca="1">_xll.ESQuote("BHUSANSTL.EQ-NSE","Volume")</f>
        <v>#NAME?</v>
      </c>
    </row>
    <row r="180" spans="1:15" x14ac:dyDescent="0.25">
      <c r="A180" s="1" t="s">
        <v>192</v>
      </c>
      <c r="B180" s="2" t="e">
        <f ca="1">_xll.ESQuote("BIL.EQ-NSE","% Change")</f>
        <v>#NAME?</v>
      </c>
      <c r="C180" s="2" t="e">
        <f ca="1">_xll.ESQuote("BIL.EQ-NSE","Change")</f>
        <v>#NAME?</v>
      </c>
      <c r="D180" s="2" t="e">
        <f ca="1">_xll.ESQuote("BIL.EQ-NSE","Close")</f>
        <v>#NAME?</v>
      </c>
      <c r="E180" s="2" t="e">
        <f ca="1">_xll.ESQuote("BIL.EQ-NSE","Company")</f>
        <v>#NAME?</v>
      </c>
      <c r="F180" s="2" t="e">
        <f ca="1">_xll.ESQuote("BIL.EQ-NSE","Description")</f>
        <v>#NAME?</v>
      </c>
      <c r="G180" s="2" t="e">
        <f ca="1">_xll.ESQuote("BIL.EQ-NSE","Exchange")</f>
        <v>#NAME?</v>
      </c>
      <c r="H180" s="2" t="e">
        <f ca="1">_xll.ESQuote("BIL.EQ-NSE","High")</f>
        <v>#NAME?</v>
      </c>
      <c r="I180" s="2" t="e">
        <f ca="1">_xll.ESQuote("BIL.EQ-NSE","Last")</f>
        <v>#NAME?</v>
      </c>
      <c r="J180" s="4" t="e">
        <f ca="1">_xll.ESQuote("BIL.EQ-NSE","Last_Time")</f>
        <v>#NAME?</v>
      </c>
      <c r="K180" s="2" t="e">
        <f ca="1">_xll.ESQuote("BIL.EQ-NSE","Low")</f>
        <v>#NAME?</v>
      </c>
      <c r="L180" s="2" t="e">
        <f ca="1">_xll.ESQuote("BIL.EQ-NSE","Open")</f>
        <v>#NAME?</v>
      </c>
      <c r="M180" s="2" t="e">
        <f ca="1">_xll.ESQuote("BIL.EQ-NSE","PrevPrice")</f>
        <v>#NAME?</v>
      </c>
      <c r="N180" s="2" t="e">
        <f ca="1">_xll.ESQuote("BIL.EQ-NSE","Symbol")</f>
        <v>#NAME?</v>
      </c>
      <c r="O180" s="2" t="e">
        <f ca="1">_xll.ESQuote("BIL.EQ-NSE","Volume")</f>
        <v>#NAME?</v>
      </c>
    </row>
    <row r="181" spans="1:15" x14ac:dyDescent="0.25">
      <c r="A181" s="1" t="s">
        <v>193</v>
      </c>
      <c r="B181" s="2" t="e">
        <f ca="1">_xll.ESQuote("BILENERGY.EQ-NSE","% Change")</f>
        <v>#NAME?</v>
      </c>
      <c r="C181" s="2" t="e">
        <f ca="1">_xll.ESQuote("BILENERGY.EQ-NSE","Change")</f>
        <v>#NAME?</v>
      </c>
      <c r="D181" s="2" t="e">
        <f ca="1">_xll.ESQuote("BILENERGY.EQ-NSE","Close")</f>
        <v>#NAME?</v>
      </c>
      <c r="E181" s="2" t="e">
        <f ca="1">_xll.ESQuote("BILENERGY.EQ-NSE","Company")</f>
        <v>#NAME?</v>
      </c>
      <c r="F181" s="2" t="e">
        <f ca="1">_xll.ESQuote("BILENERGY.EQ-NSE","Description")</f>
        <v>#NAME?</v>
      </c>
      <c r="G181" s="2" t="e">
        <f ca="1">_xll.ESQuote("BILENERGY.EQ-NSE","Exchange")</f>
        <v>#NAME?</v>
      </c>
      <c r="H181" s="2" t="e">
        <f ca="1">_xll.ESQuote("BILENERGY.EQ-NSE","High")</f>
        <v>#NAME?</v>
      </c>
      <c r="I181" s="2" t="e">
        <f ca="1">_xll.ESQuote("BILENERGY.EQ-NSE","Last")</f>
        <v>#NAME?</v>
      </c>
      <c r="J181" s="4" t="e">
        <f ca="1">_xll.ESQuote("BILENERGY.EQ-NSE","Last_Time")</f>
        <v>#NAME?</v>
      </c>
      <c r="K181" s="2" t="e">
        <f ca="1">_xll.ESQuote("BILENERGY.EQ-NSE","Low")</f>
        <v>#NAME?</v>
      </c>
      <c r="L181" s="2" t="e">
        <f ca="1">_xll.ESQuote("BILENERGY.EQ-NSE","Open")</f>
        <v>#NAME?</v>
      </c>
      <c r="M181" s="2" t="e">
        <f ca="1">_xll.ESQuote("BILENERGY.EQ-NSE","PrevPrice")</f>
        <v>#NAME?</v>
      </c>
      <c r="N181" s="2" t="e">
        <f ca="1">_xll.ESQuote("BILENERGY.EQ-NSE","Symbol")</f>
        <v>#NAME?</v>
      </c>
      <c r="O181" s="2" t="e">
        <f ca="1">_xll.ESQuote("BILENERGY.EQ-NSE","Volume")</f>
        <v>#NAME?</v>
      </c>
    </row>
    <row r="182" spans="1:15" x14ac:dyDescent="0.25">
      <c r="A182" s="1" t="s">
        <v>194</v>
      </c>
      <c r="B182" s="2" t="e">
        <f ca="1">_xll.ESQuote("BILPOWER.EQ-NSE","% Change")</f>
        <v>#NAME?</v>
      </c>
      <c r="C182" s="2" t="e">
        <f ca="1">_xll.ESQuote("BILPOWER.EQ-NSE","Change")</f>
        <v>#NAME?</v>
      </c>
      <c r="D182" s="2" t="e">
        <f ca="1">_xll.ESQuote("BILPOWER.EQ-NSE","Close")</f>
        <v>#NAME?</v>
      </c>
      <c r="E182" s="2" t="e">
        <f ca="1">_xll.ESQuote("BILPOWER.EQ-NSE","Company")</f>
        <v>#NAME?</v>
      </c>
      <c r="F182" s="2" t="e">
        <f ca="1">_xll.ESQuote("BILPOWER.EQ-NSE","Description")</f>
        <v>#NAME?</v>
      </c>
      <c r="G182" s="2" t="e">
        <f ca="1">_xll.ESQuote("BILPOWER.EQ-NSE","Exchange")</f>
        <v>#NAME?</v>
      </c>
      <c r="H182" s="2" t="e">
        <f ca="1">_xll.ESQuote("BILPOWER.EQ-NSE","High")</f>
        <v>#NAME?</v>
      </c>
      <c r="I182" s="2" t="e">
        <f ca="1">_xll.ESQuote("BILPOWER.EQ-NSE","Last")</f>
        <v>#NAME?</v>
      </c>
      <c r="J182" s="4" t="e">
        <f ca="1">_xll.ESQuote("BILPOWER.EQ-NSE","Last_Time")</f>
        <v>#NAME?</v>
      </c>
      <c r="K182" s="2" t="e">
        <f ca="1">_xll.ESQuote("BILPOWER.EQ-NSE","Low")</f>
        <v>#NAME?</v>
      </c>
      <c r="L182" s="2" t="e">
        <f ca="1">_xll.ESQuote("BILPOWER.EQ-NSE","Open")</f>
        <v>#NAME?</v>
      </c>
      <c r="M182" s="2" t="e">
        <f ca="1">_xll.ESQuote("BILPOWER.EQ-NSE","PrevPrice")</f>
        <v>#NAME?</v>
      </c>
      <c r="N182" s="2" t="e">
        <f ca="1">_xll.ESQuote("BILPOWER.EQ-NSE","Symbol")</f>
        <v>#NAME?</v>
      </c>
      <c r="O182" s="2" t="e">
        <f ca="1">_xll.ESQuote("BILPOWER.EQ-NSE","Volume")</f>
        <v>#NAME?</v>
      </c>
    </row>
    <row r="183" spans="1:15" x14ac:dyDescent="0.25">
      <c r="A183" s="1" t="s">
        <v>195</v>
      </c>
      <c r="B183" s="2" t="e">
        <f ca="1">_xll.ESQuote("BINANIIND.EQ-NSE","% Change")</f>
        <v>#NAME?</v>
      </c>
      <c r="C183" s="2" t="e">
        <f ca="1">_xll.ESQuote("BINANIIND.EQ-NSE","Change")</f>
        <v>#NAME?</v>
      </c>
      <c r="D183" s="2" t="e">
        <f ca="1">_xll.ESQuote("BINANIIND.EQ-NSE","Close")</f>
        <v>#NAME?</v>
      </c>
      <c r="E183" s="2" t="e">
        <f ca="1">_xll.ESQuote("BINANIIND.EQ-NSE","Company")</f>
        <v>#NAME?</v>
      </c>
      <c r="F183" s="2" t="e">
        <f ca="1">_xll.ESQuote("BINANIIND.EQ-NSE","Description")</f>
        <v>#NAME?</v>
      </c>
      <c r="G183" s="2" t="e">
        <f ca="1">_xll.ESQuote("BINANIIND.EQ-NSE","Exchange")</f>
        <v>#NAME?</v>
      </c>
      <c r="H183" s="2" t="e">
        <f ca="1">_xll.ESQuote("BINANIIND.EQ-NSE","High")</f>
        <v>#NAME?</v>
      </c>
      <c r="I183" s="2" t="e">
        <f ca="1">_xll.ESQuote("BINANIIND.EQ-NSE","Last")</f>
        <v>#NAME?</v>
      </c>
      <c r="J183" s="4" t="e">
        <f ca="1">_xll.ESQuote("BINANIIND.EQ-NSE","Last_Time")</f>
        <v>#NAME?</v>
      </c>
      <c r="K183" s="2" t="e">
        <f ca="1">_xll.ESQuote("BINANIIND.EQ-NSE","Low")</f>
        <v>#NAME?</v>
      </c>
      <c r="L183" s="2" t="e">
        <f ca="1">_xll.ESQuote("BINANIIND.EQ-NSE","Open")</f>
        <v>#NAME?</v>
      </c>
      <c r="M183" s="2" t="e">
        <f ca="1">_xll.ESQuote("BINANIIND.EQ-NSE","PrevPrice")</f>
        <v>#NAME?</v>
      </c>
      <c r="N183" s="2" t="e">
        <f ca="1">_xll.ESQuote("BINANIIND.EQ-NSE","Symbol")</f>
        <v>#NAME?</v>
      </c>
      <c r="O183" s="2" t="e">
        <f ca="1">_xll.ESQuote("BINANIIND.EQ-NSE","Volume")</f>
        <v>#NAME?</v>
      </c>
    </row>
    <row r="184" spans="1:15" x14ac:dyDescent="0.25">
      <c r="A184" s="1" t="s">
        <v>196</v>
      </c>
      <c r="B184" s="2" t="e">
        <f ca="1">_xll.ESQuote("BINDALAGRO.EQ-NSE","% Change")</f>
        <v>#NAME?</v>
      </c>
      <c r="C184" s="2" t="e">
        <f ca="1">_xll.ESQuote("BINDALAGRO.EQ-NSE","Change")</f>
        <v>#NAME?</v>
      </c>
      <c r="D184" s="2" t="e">
        <f ca="1">_xll.ESQuote("BINDALAGRO.EQ-NSE","Close")</f>
        <v>#NAME?</v>
      </c>
      <c r="E184" s="2" t="e">
        <f ca="1">_xll.ESQuote("BINDALAGRO.EQ-NSE","Company")</f>
        <v>#NAME?</v>
      </c>
      <c r="F184" s="2" t="e">
        <f ca="1">_xll.ESQuote("BINDALAGRO.EQ-NSE","Description")</f>
        <v>#NAME?</v>
      </c>
      <c r="G184" s="2" t="e">
        <f ca="1">_xll.ESQuote("BINDALAGRO.EQ-NSE","Exchange")</f>
        <v>#NAME?</v>
      </c>
      <c r="H184" s="2" t="e">
        <f ca="1">_xll.ESQuote("BINDALAGRO.EQ-NSE","High")</f>
        <v>#NAME?</v>
      </c>
      <c r="I184" s="2" t="e">
        <f ca="1">_xll.ESQuote("BINDALAGRO.EQ-NSE","Last")</f>
        <v>#NAME?</v>
      </c>
      <c r="J184" s="4" t="e">
        <f ca="1">_xll.ESQuote("BINDALAGRO.EQ-NSE","Last_Time")</f>
        <v>#NAME?</v>
      </c>
      <c r="K184" s="2" t="e">
        <f ca="1">_xll.ESQuote("BINDALAGRO.EQ-NSE","Low")</f>
        <v>#NAME?</v>
      </c>
      <c r="L184" s="2" t="e">
        <f ca="1">_xll.ESQuote("BINDALAGRO.EQ-NSE","Open")</f>
        <v>#NAME?</v>
      </c>
      <c r="M184" s="2" t="e">
        <f ca="1">_xll.ESQuote("BINDALAGRO.EQ-NSE","PrevPrice")</f>
        <v>#NAME?</v>
      </c>
      <c r="N184" s="2" t="e">
        <f ca="1">_xll.ESQuote("BINDALAGRO.EQ-NSE","Symbol")</f>
        <v>#NAME?</v>
      </c>
      <c r="O184" s="2" t="e">
        <f ca="1">_xll.ESQuote("BINDALAGRO.EQ-NSE","Volume")</f>
        <v>#NAME?</v>
      </c>
    </row>
    <row r="185" spans="1:15" x14ac:dyDescent="0.25">
      <c r="A185" s="1" t="s">
        <v>197</v>
      </c>
      <c r="B185" s="2" t="e">
        <f ca="1">_xll.ESQuote("BIOCON.EQ-NSE","% Change")</f>
        <v>#NAME?</v>
      </c>
      <c r="C185" s="2" t="e">
        <f ca="1">_xll.ESQuote("BIOCON.EQ-NSE","Change")</f>
        <v>#NAME?</v>
      </c>
      <c r="D185" s="2" t="e">
        <f ca="1">_xll.ESQuote("BIOCON.EQ-NSE","Close")</f>
        <v>#NAME?</v>
      </c>
      <c r="E185" s="2" t="e">
        <f ca="1">_xll.ESQuote("BIOCON.EQ-NSE","Company")</f>
        <v>#NAME?</v>
      </c>
      <c r="F185" s="2" t="e">
        <f ca="1">_xll.ESQuote("BIOCON.EQ-NSE","Description")</f>
        <v>#NAME?</v>
      </c>
      <c r="G185" s="2" t="e">
        <f ca="1">_xll.ESQuote("BIOCON.EQ-NSE","Exchange")</f>
        <v>#NAME?</v>
      </c>
      <c r="H185" s="2" t="e">
        <f ca="1">_xll.ESQuote("BIOCON.EQ-NSE","High")</f>
        <v>#NAME?</v>
      </c>
      <c r="I185" s="2" t="e">
        <f ca="1">_xll.ESQuote("BIOCON.EQ-NSE","Last")</f>
        <v>#NAME?</v>
      </c>
      <c r="J185" s="4" t="e">
        <f ca="1">_xll.ESQuote("BIOCON.EQ-NSE","Last_Time")</f>
        <v>#NAME?</v>
      </c>
      <c r="K185" s="2" t="e">
        <f ca="1">_xll.ESQuote("BIOCON.EQ-NSE","Low")</f>
        <v>#NAME?</v>
      </c>
      <c r="L185" s="2" t="e">
        <f ca="1">_xll.ESQuote("BIOCON.EQ-NSE","Open")</f>
        <v>#NAME?</v>
      </c>
      <c r="M185" s="2" t="e">
        <f ca="1">_xll.ESQuote("BIOCON.EQ-NSE","PrevPrice")</f>
        <v>#NAME?</v>
      </c>
      <c r="N185" s="2" t="e">
        <f ca="1">_xll.ESQuote("BIOCON.EQ-NSE","Symbol")</f>
        <v>#NAME?</v>
      </c>
      <c r="O185" s="2" t="e">
        <f ca="1">_xll.ESQuote("BIOCON.EQ-NSE","Volume")</f>
        <v>#NAME?</v>
      </c>
    </row>
    <row r="186" spans="1:15" x14ac:dyDescent="0.25">
      <c r="A186" s="1" t="s">
        <v>198</v>
      </c>
      <c r="B186" s="2" t="e">
        <f ca="1">_xll.ESQuote("BIRLACORPN.EQ-NSE","% Change")</f>
        <v>#NAME?</v>
      </c>
      <c r="C186" s="2" t="e">
        <f ca="1">_xll.ESQuote("BIRLACORPN.EQ-NSE","Change")</f>
        <v>#NAME?</v>
      </c>
      <c r="D186" s="2" t="e">
        <f ca="1">_xll.ESQuote("BIRLACORPN.EQ-NSE","Close")</f>
        <v>#NAME?</v>
      </c>
      <c r="E186" s="2" t="e">
        <f ca="1">_xll.ESQuote("BIRLACORPN.EQ-NSE","Company")</f>
        <v>#NAME?</v>
      </c>
      <c r="F186" s="2" t="e">
        <f ca="1">_xll.ESQuote("BIRLACORPN.EQ-NSE","Description")</f>
        <v>#NAME?</v>
      </c>
      <c r="G186" s="2" t="e">
        <f ca="1">_xll.ESQuote("BIRLACORPN.EQ-NSE","Exchange")</f>
        <v>#NAME?</v>
      </c>
      <c r="H186" s="2" t="e">
        <f ca="1">_xll.ESQuote("BIRLACORPN.EQ-NSE","High")</f>
        <v>#NAME?</v>
      </c>
      <c r="I186" s="2" t="e">
        <f ca="1">_xll.ESQuote("BIRLACORPN.EQ-NSE","Last")</f>
        <v>#NAME?</v>
      </c>
      <c r="J186" s="4" t="e">
        <f ca="1">_xll.ESQuote("BIRLACORPN.EQ-NSE","Last_Time")</f>
        <v>#NAME?</v>
      </c>
      <c r="K186" s="2" t="e">
        <f ca="1">_xll.ESQuote("BIRLACORPN.EQ-NSE","Low")</f>
        <v>#NAME?</v>
      </c>
      <c r="L186" s="2" t="e">
        <f ca="1">_xll.ESQuote("BIRLACORPN.EQ-NSE","Open")</f>
        <v>#NAME?</v>
      </c>
      <c r="M186" s="2" t="e">
        <f ca="1">_xll.ESQuote("BIRLACORPN.EQ-NSE","PrevPrice")</f>
        <v>#NAME?</v>
      </c>
      <c r="N186" s="2" t="e">
        <f ca="1">_xll.ESQuote("BIRLACORPN.EQ-NSE","Symbol")</f>
        <v>#NAME?</v>
      </c>
      <c r="O186" s="2" t="e">
        <f ca="1">_xll.ESQuote("BIRLACORPN.EQ-NSE","Volume")</f>
        <v>#NAME?</v>
      </c>
    </row>
    <row r="187" spans="1:15" x14ac:dyDescent="0.25">
      <c r="A187" s="1" t="s">
        <v>199</v>
      </c>
      <c r="B187" s="2" t="e">
        <f ca="1">_xll.ESQuote("BIRLACOT.EQ-NSE","% Change")</f>
        <v>#NAME?</v>
      </c>
      <c r="C187" s="2" t="e">
        <f ca="1">_xll.ESQuote("BIRLACOT.EQ-NSE","Change")</f>
        <v>#NAME?</v>
      </c>
      <c r="D187" s="2" t="e">
        <f ca="1">_xll.ESQuote("BIRLACOT.EQ-NSE","Close")</f>
        <v>#NAME?</v>
      </c>
      <c r="E187" s="2" t="e">
        <f ca="1">_xll.ESQuote("BIRLACOT.EQ-NSE","Company")</f>
        <v>#NAME?</v>
      </c>
      <c r="F187" s="2" t="e">
        <f ca="1">_xll.ESQuote("BIRLACOT.EQ-NSE","Description")</f>
        <v>#NAME?</v>
      </c>
      <c r="G187" s="2" t="e">
        <f ca="1">_xll.ESQuote("BIRLACOT.EQ-NSE","Exchange")</f>
        <v>#NAME?</v>
      </c>
      <c r="H187" s="2" t="e">
        <f ca="1">_xll.ESQuote("BIRLACOT.EQ-NSE","High")</f>
        <v>#NAME?</v>
      </c>
      <c r="I187" s="2" t="e">
        <f ca="1">_xll.ESQuote("BIRLACOT.EQ-NSE","Last")</f>
        <v>#NAME?</v>
      </c>
      <c r="J187" s="4" t="e">
        <f ca="1">_xll.ESQuote("BIRLACOT.EQ-NSE","Last_Time")</f>
        <v>#NAME?</v>
      </c>
      <c r="K187" s="2" t="e">
        <f ca="1">_xll.ESQuote("BIRLACOT.EQ-NSE","Low")</f>
        <v>#NAME?</v>
      </c>
      <c r="L187" s="2" t="e">
        <f ca="1">_xll.ESQuote("BIRLACOT.EQ-NSE","Open")</f>
        <v>#NAME?</v>
      </c>
      <c r="M187" s="2" t="e">
        <f ca="1">_xll.ESQuote("BIRLACOT.EQ-NSE","PrevPrice")</f>
        <v>#NAME?</v>
      </c>
      <c r="N187" s="2" t="e">
        <f ca="1">_xll.ESQuote("BIRLACOT.EQ-NSE","Symbol")</f>
        <v>#NAME?</v>
      </c>
      <c r="O187" s="2" t="e">
        <f ca="1">_xll.ESQuote("BIRLACOT.EQ-NSE","Volume")</f>
        <v>#NAME?</v>
      </c>
    </row>
    <row r="188" spans="1:15" x14ac:dyDescent="0.25">
      <c r="A188" s="1" t="s">
        <v>200</v>
      </c>
      <c r="B188" s="2" t="e">
        <f ca="1">_xll.ESQuote("BIRLAERIC.EQ-NSE","% Change")</f>
        <v>#NAME?</v>
      </c>
      <c r="C188" s="2" t="e">
        <f ca="1">_xll.ESQuote("BIRLAERIC.EQ-NSE","Change")</f>
        <v>#NAME?</v>
      </c>
      <c r="D188" s="2" t="e">
        <f ca="1">_xll.ESQuote("BIRLAERIC.EQ-NSE","Close")</f>
        <v>#NAME?</v>
      </c>
      <c r="E188" s="2" t="e">
        <f ca="1">_xll.ESQuote("BIRLAERIC.EQ-NSE","Company")</f>
        <v>#NAME?</v>
      </c>
      <c r="F188" s="2" t="e">
        <f ca="1">_xll.ESQuote("BIRLAERIC.EQ-NSE","Description")</f>
        <v>#NAME?</v>
      </c>
      <c r="G188" s="2" t="e">
        <f ca="1">_xll.ESQuote("BIRLAERIC.EQ-NSE","Exchange")</f>
        <v>#NAME?</v>
      </c>
      <c r="H188" s="2" t="e">
        <f ca="1">_xll.ESQuote("BIRLAERIC.EQ-NSE","High")</f>
        <v>#NAME?</v>
      </c>
      <c r="I188" s="2" t="e">
        <f ca="1">_xll.ESQuote("BIRLAERIC.EQ-NSE","Last")</f>
        <v>#NAME?</v>
      </c>
      <c r="J188" s="4" t="e">
        <f ca="1">_xll.ESQuote("BIRLAERIC.EQ-NSE","Last_Time")</f>
        <v>#NAME?</v>
      </c>
      <c r="K188" s="2" t="e">
        <f ca="1">_xll.ESQuote("BIRLAERIC.EQ-NSE","Low")</f>
        <v>#NAME?</v>
      </c>
      <c r="L188" s="2" t="e">
        <f ca="1">_xll.ESQuote("BIRLAERIC.EQ-NSE","Open")</f>
        <v>#NAME?</v>
      </c>
      <c r="M188" s="2" t="e">
        <f ca="1">_xll.ESQuote("BIRLAERIC.EQ-NSE","PrevPrice")</f>
        <v>#NAME?</v>
      </c>
      <c r="N188" s="2" t="e">
        <f ca="1">_xll.ESQuote("BIRLAERIC.EQ-NSE","Symbol")</f>
        <v>#NAME?</v>
      </c>
      <c r="O188" s="2" t="e">
        <f ca="1">_xll.ESQuote("BIRLAERIC.EQ-NSE","Volume")</f>
        <v>#NAME?</v>
      </c>
    </row>
    <row r="189" spans="1:15" x14ac:dyDescent="0.25">
      <c r="A189" s="1" t="s">
        <v>201</v>
      </c>
      <c r="B189" s="2" t="e">
        <f ca="1">_xll.ESQuote("BIRLAMONEY.EQ-NSE","% Change")</f>
        <v>#NAME?</v>
      </c>
      <c r="C189" s="2" t="e">
        <f ca="1">_xll.ESQuote("BIRLAMONEY.EQ-NSE","Change")</f>
        <v>#NAME?</v>
      </c>
      <c r="D189" s="2" t="e">
        <f ca="1">_xll.ESQuote("BIRLAMONEY.EQ-NSE","Close")</f>
        <v>#NAME?</v>
      </c>
      <c r="E189" s="2" t="e">
        <f ca="1">_xll.ESQuote("BIRLAMONEY.EQ-NSE","Company")</f>
        <v>#NAME?</v>
      </c>
      <c r="F189" s="2" t="e">
        <f ca="1">_xll.ESQuote("BIRLAMONEY.EQ-NSE","Description")</f>
        <v>#NAME?</v>
      </c>
      <c r="G189" s="2" t="e">
        <f ca="1">_xll.ESQuote("BIRLAMONEY.EQ-NSE","Exchange")</f>
        <v>#NAME?</v>
      </c>
      <c r="H189" s="2" t="e">
        <f ca="1">_xll.ESQuote("BIRLAMONEY.EQ-NSE","High")</f>
        <v>#NAME?</v>
      </c>
      <c r="I189" s="2" t="e">
        <f ca="1">_xll.ESQuote("BIRLAMONEY.EQ-NSE","Last")</f>
        <v>#NAME?</v>
      </c>
      <c r="J189" s="4" t="e">
        <f ca="1">_xll.ESQuote("BIRLAMONEY.EQ-NSE","Last_Time")</f>
        <v>#NAME?</v>
      </c>
      <c r="K189" s="2" t="e">
        <f ca="1">_xll.ESQuote("BIRLAMONEY.EQ-NSE","Low")</f>
        <v>#NAME?</v>
      </c>
      <c r="L189" s="2" t="e">
        <f ca="1">_xll.ESQuote("BIRLAMONEY.EQ-NSE","Open")</f>
        <v>#NAME?</v>
      </c>
      <c r="M189" s="2" t="e">
        <f ca="1">_xll.ESQuote("BIRLAMONEY.EQ-NSE","PrevPrice")</f>
        <v>#NAME?</v>
      </c>
      <c r="N189" s="2" t="e">
        <f ca="1">_xll.ESQuote("BIRLAMONEY.EQ-NSE","Symbol")</f>
        <v>#NAME?</v>
      </c>
      <c r="O189" s="2" t="e">
        <f ca="1">_xll.ESQuote("BIRLAMONEY.EQ-NSE","Volume")</f>
        <v>#NAME?</v>
      </c>
    </row>
    <row r="190" spans="1:15" x14ac:dyDescent="0.25">
      <c r="A190" s="1" t="s">
        <v>202</v>
      </c>
      <c r="B190" s="2" t="e">
        <f ca="1">_xll.ESQuote("BLBLIMITED.EQ-NSE","% Change")</f>
        <v>#NAME?</v>
      </c>
      <c r="C190" s="2" t="e">
        <f ca="1">_xll.ESQuote("BLBLIMITED.EQ-NSE","Change")</f>
        <v>#NAME?</v>
      </c>
      <c r="D190" s="2" t="e">
        <f ca="1">_xll.ESQuote("BLBLIMITED.EQ-NSE","Close")</f>
        <v>#NAME?</v>
      </c>
      <c r="E190" s="2" t="e">
        <f ca="1">_xll.ESQuote("BLBLIMITED.EQ-NSE","Company")</f>
        <v>#NAME?</v>
      </c>
      <c r="F190" s="2" t="e">
        <f ca="1">_xll.ESQuote("BLBLIMITED.EQ-NSE","Description")</f>
        <v>#NAME?</v>
      </c>
      <c r="G190" s="2" t="e">
        <f ca="1">_xll.ESQuote("BLBLIMITED.EQ-NSE","Exchange")</f>
        <v>#NAME?</v>
      </c>
      <c r="H190" s="2" t="e">
        <f ca="1">_xll.ESQuote("BLBLIMITED.EQ-NSE","High")</f>
        <v>#NAME?</v>
      </c>
      <c r="I190" s="2" t="e">
        <f ca="1">_xll.ESQuote("BLBLIMITED.EQ-NSE","Last")</f>
        <v>#NAME?</v>
      </c>
      <c r="J190" s="4" t="e">
        <f ca="1">_xll.ESQuote("BLBLIMITED.EQ-NSE","Last_Time")</f>
        <v>#NAME?</v>
      </c>
      <c r="K190" s="2" t="e">
        <f ca="1">_xll.ESQuote("BLBLIMITED.EQ-NSE","Low")</f>
        <v>#NAME?</v>
      </c>
      <c r="L190" s="2" t="e">
        <f ca="1">_xll.ESQuote("BLBLIMITED.EQ-NSE","Open")</f>
        <v>#NAME?</v>
      </c>
      <c r="M190" s="2" t="e">
        <f ca="1">_xll.ESQuote("BLBLIMITED.EQ-NSE","PrevPrice")</f>
        <v>#NAME?</v>
      </c>
      <c r="N190" s="2" t="e">
        <f ca="1">_xll.ESQuote("BLBLIMITED.EQ-NSE","Symbol")</f>
        <v>#NAME?</v>
      </c>
      <c r="O190" s="2" t="e">
        <f ca="1">_xll.ESQuote("BLBLIMITED.EQ-NSE","Volume")</f>
        <v>#NAME?</v>
      </c>
    </row>
    <row r="191" spans="1:15" x14ac:dyDescent="0.25">
      <c r="A191" s="1" t="s">
        <v>203</v>
      </c>
      <c r="B191" s="2" t="e">
        <f ca="1">_xll.ESQuote("BLISSGVS.EQ-NSE","% Change")</f>
        <v>#NAME?</v>
      </c>
      <c r="C191" s="2" t="e">
        <f ca="1">_xll.ESQuote("BLISSGVS.EQ-NSE","Change")</f>
        <v>#NAME?</v>
      </c>
      <c r="D191" s="2" t="e">
        <f ca="1">_xll.ESQuote("BLISSGVS.EQ-NSE","Close")</f>
        <v>#NAME?</v>
      </c>
      <c r="E191" s="2" t="e">
        <f ca="1">_xll.ESQuote("BLISSGVS.EQ-NSE","Company")</f>
        <v>#NAME?</v>
      </c>
      <c r="F191" s="2" t="e">
        <f ca="1">_xll.ESQuote("BLISSGVS.EQ-NSE","Description")</f>
        <v>#NAME?</v>
      </c>
      <c r="G191" s="2" t="e">
        <f ca="1">_xll.ESQuote("BLISSGVS.EQ-NSE","Exchange")</f>
        <v>#NAME?</v>
      </c>
      <c r="H191" s="2" t="e">
        <f ca="1">_xll.ESQuote("BLISSGVS.EQ-NSE","High")</f>
        <v>#NAME?</v>
      </c>
      <c r="I191" s="2" t="e">
        <f ca="1">_xll.ESQuote("BLISSGVS.EQ-NSE","Last")</f>
        <v>#NAME?</v>
      </c>
      <c r="J191" s="4" t="e">
        <f ca="1">_xll.ESQuote("BLISSGVS.EQ-NSE","Last_Time")</f>
        <v>#NAME?</v>
      </c>
      <c r="K191" s="2" t="e">
        <f ca="1">_xll.ESQuote("BLISSGVS.EQ-NSE","Low")</f>
        <v>#NAME?</v>
      </c>
      <c r="L191" s="2" t="e">
        <f ca="1">_xll.ESQuote("BLISSGVS.EQ-NSE","Open")</f>
        <v>#NAME?</v>
      </c>
      <c r="M191" s="2" t="e">
        <f ca="1">_xll.ESQuote("BLISSGVS.EQ-NSE","PrevPrice")</f>
        <v>#NAME?</v>
      </c>
      <c r="N191" s="2" t="e">
        <f ca="1">_xll.ESQuote("BLISSGVS.EQ-NSE","Symbol")</f>
        <v>#NAME?</v>
      </c>
      <c r="O191" s="2" t="e">
        <f ca="1">_xll.ESQuote("BLISSGVS.EQ-NSE","Volume")</f>
        <v>#NAME?</v>
      </c>
    </row>
    <row r="192" spans="1:15" x14ac:dyDescent="0.25">
      <c r="A192" s="1" t="s">
        <v>204</v>
      </c>
      <c r="B192" s="2" t="e">
        <f ca="1">_xll.ESQuote("BLKASHYAP.EQ-NSE","% Change")</f>
        <v>#NAME?</v>
      </c>
      <c r="C192" s="2" t="e">
        <f ca="1">_xll.ESQuote("BLKASHYAP.EQ-NSE","Change")</f>
        <v>#NAME?</v>
      </c>
      <c r="D192" s="2" t="e">
        <f ca="1">_xll.ESQuote("BLKASHYAP.EQ-NSE","Close")</f>
        <v>#NAME?</v>
      </c>
      <c r="E192" s="2" t="e">
        <f ca="1">_xll.ESQuote("BLKASHYAP.EQ-NSE","Company")</f>
        <v>#NAME?</v>
      </c>
      <c r="F192" s="2" t="e">
        <f ca="1">_xll.ESQuote("BLKASHYAP.EQ-NSE","Description")</f>
        <v>#NAME?</v>
      </c>
      <c r="G192" s="2" t="e">
        <f ca="1">_xll.ESQuote("BLKASHYAP.EQ-NSE","Exchange")</f>
        <v>#NAME?</v>
      </c>
      <c r="H192" s="2" t="e">
        <f ca="1">_xll.ESQuote("BLKASHYAP.EQ-NSE","High")</f>
        <v>#NAME?</v>
      </c>
      <c r="I192" s="2" t="e">
        <f ca="1">_xll.ESQuote("BLKASHYAP.EQ-NSE","Last")</f>
        <v>#NAME?</v>
      </c>
      <c r="J192" s="4" t="e">
        <f ca="1">_xll.ESQuote("BLKASHYAP.EQ-NSE","Last_Time")</f>
        <v>#NAME?</v>
      </c>
      <c r="K192" s="2" t="e">
        <f ca="1">_xll.ESQuote("BLKASHYAP.EQ-NSE","Low")</f>
        <v>#NAME?</v>
      </c>
      <c r="L192" s="2" t="e">
        <f ca="1">_xll.ESQuote("BLKASHYAP.EQ-NSE","Open")</f>
        <v>#NAME?</v>
      </c>
      <c r="M192" s="2" t="e">
        <f ca="1">_xll.ESQuote("BLKASHYAP.EQ-NSE","PrevPrice")</f>
        <v>#NAME?</v>
      </c>
      <c r="N192" s="2" t="e">
        <f ca="1">_xll.ESQuote("BLKASHYAP.EQ-NSE","Symbol")</f>
        <v>#NAME?</v>
      </c>
      <c r="O192" s="2" t="e">
        <f ca="1">_xll.ESQuote("BLKASHYAP.EQ-NSE","Volume")</f>
        <v>#NAME?</v>
      </c>
    </row>
    <row r="193" spans="1:15" x14ac:dyDescent="0.25">
      <c r="A193" s="1" t="s">
        <v>205</v>
      </c>
      <c r="B193" s="2" t="e">
        <f ca="1">_xll.ESQuote("BLUEBLENDS.EQ-NSE","% Change")</f>
        <v>#NAME?</v>
      </c>
      <c r="C193" s="2" t="e">
        <f ca="1">_xll.ESQuote("BLUEBLENDS.EQ-NSE","Change")</f>
        <v>#NAME?</v>
      </c>
      <c r="D193" s="2" t="e">
        <f ca="1">_xll.ESQuote("BLUEBLENDS.EQ-NSE","Close")</f>
        <v>#NAME?</v>
      </c>
      <c r="E193" s="2" t="e">
        <f ca="1">_xll.ESQuote("BLUEBLENDS.EQ-NSE","Company")</f>
        <v>#NAME?</v>
      </c>
      <c r="F193" s="2" t="e">
        <f ca="1">_xll.ESQuote("BLUEBLENDS.EQ-NSE","Description")</f>
        <v>#NAME?</v>
      </c>
      <c r="G193" s="2" t="e">
        <f ca="1">_xll.ESQuote("BLUEBLENDS.EQ-NSE","Exchange")</f>
        <v>#NAME?</v>
      </c>
      <c r="H193" s="2" t="e">
        <f ca="1">_xll.ESQuote("BLUEBLENDS.EQ-NSE","High")</f>
        <v>#NAME?</v>
      </c>
      <c r="I193" s="2" t="e">
        <f ca="1">_xll.ESQuote("BLUEBLENDS.EQ-NSE","Last")</f>
        <v>#NAME?</v>
      </c>
      <c r="J193" s="4" t="e">
        <f ca="1">_xll.ESQuote("BLUEBLENDS.EQ-NSE","Last_Time")</f>
        <v>#NAME?</v>
      </c>
      <c r="K193" s="2" t="e">
        <f ca="1">_xll.ESQuote("BLUEBLENDS.EQ-NSE","Low")</f>
        <v>#NAME?</v>
      </c>
      <c r="L193" s="2" t="e">
        <f ca="1">_xll.ESQuote("BLUEBLENDS.EQ-NSE","Open")</f>
        <v>#NAME?</v>
      </c>
      <c r="M193" s="2" t="e">
        <f ca="1">_xll.ESQuote("BLUEBLENDS.EQ-NSE","PrevPrice")</f>
        <v>#NAME?</v>
      </c>
      <c r="N193" s="2" t="e">
        <f ca="1">_xll.ESQuote("BLUEBLENDS.EQ-NSE","Symbol")</f>
        <v>#NAME?</v>
      </c>
      <c r="O193" s="2" t="e">
        <f ca="1">_xll.ESQuote("BLUEBLENDS.EQ-NSE","Volume")</f>
        <v>#NAME?</v>
      </c>
    </row>
    <row r="194" spans="1:15" x14ac:dyDescent="0.25">
      <c r="A194" s="1" t="s">
        <v>206</v>
      </c>
      <c r="B194" s="2" t="e">
        <f ca="1">_xll.ESQuote("BLUECHIP.EQ-NSE","% Change")</f>
        <v>#NAME?</v>
      </c>
      <c r="C194" s="2" t="e">
        <f ca="1">_xll.ESQuote("BLUECHIP.EQ-NSE","Change")</f>
        <v>#NAME?</v>
      </c>
      <c r="D194" s="2" t="e">
        <f ca="1">_xll.ESQuote("BLUECHIP.EQ-NSE","Close")</f>
        <v>#NAME?</v>
      </c>
      <c r="E194" s="2" t="e">
        <f ca="1">_xll.ESQuote("BLUECHIP.EQ-NSE","Company")</f>
        <v>#NAME?</v>
      </c>
      <c r="F194" s="2" t="e">
        <f ca="1">_xll.ESQuote("BLUECHIP.EQ-NSE","Description")</f>
        <v>#NAME?</v>
      </c>
      <c r="G194" s="2" t="e">
        <f ca="1">_xll.ESQuote("BLUECHIP.EQ-NSE","Exchange")</f>
        <v>#NAME?</v>
      </c>
      <c r="H194" s="2" t="e">
        <f ca="1">_xll.ESQuote("BLUECHIP.EQ-NSE","High")</f>
        <v>#NAME?</v>
      </c>
      <c r="I194" s="2" t="e">
        <f ca="1">_xll.ESQuote("BLUECHIP.EQ-NSE","Last")</f>
        <v>#NAME?</v>
      </c>
      <c r="J194" s="4" t="e">
        <f ca="1">_xll.ESQuote("BLUECHIP.EQ-NSE","Last_Time")</f>
        <v>#NAME?</v>
      </c>
      <c r="K194" s="2" t="e">
        <f ca="1">_xll.ESQuote("BLUECHIP.EQ-NSE","Low")</f>
        <v>#NAME?</v>
      </c>
      <c r="L194" s="2" t="e">
        <f ca="1">_xll.ESQuote("BLUECHIP.EQ-NSE","Open")</f>
        <v>#NAME?</v>
      </c>
      <c r="M194" s="2" t="e">
        <f ca="1">_xll.ESQuote("BLUECHIP.EQ-NSE","PrevPrice")</f>
        <v>#NAME?</v>
      </c>
      <c r="N194" s="2" t="e">
        <f ca="1">_xll.ESQuote("BLUECHIP.EQ-NSE","Symbol")</f>
        <v>#NAME?</v>
      </c>
      <c r="O194" s="2" t="e">
        <f ca="1">_xll.ESQuote("BLUECHIP.EQ-NSE","Volume")</f>
        <v>#NAME?</v>
      </c>
    </row>
    <row r="195" spans="1:15" x14ac:dyDescent="0.25">
      <c r="A195" s="1" t="s">
        <v>207</v>
      </c>
      <c r="B195" s="2" t="e">
        <f ca="1">_xll.ESQuote("BLUECOAST.EQ-NSE","% Change")</f>
        <v>#NAME?</v>
      </c>
      <c r="C195" s="2" t="e">
        <f ca="1">_xll.ESQuote("BLUECOAST.EQ-NSE","Change")</f>
        <v>#NAME?</v>
      </c>
      <c r="D195" s="2" t="e">
        <f ca="1">_xll.ESQuote("BLUECOAST.EQ-NSE","Close")</f>
        <v>#NAME?</v>
      </c>
      <c r="E195" s="2" t="e">
        <f ca="1">_xll.ESQuote("BLUECOAST.EQ-NSE","Company")</f>
        <v>#NAME?</v>
      </c>
      <c r="F195" s="2" t="e">
        <f ca="1">_xll.ESQuote("BLUECOAST.EQ-NSE","Description")</f>
        <v>#NAME?</v>
      </c>
      <c r="G195" s="2" t="e">
        <f ca="1">_xll.ESQuote("BLUECOAST.EQ-NSE","Exchange")</f>
        <v>#NAME?</v>
      </c>
      <c r="H195" s="2" t="e">
        <f ca="1">_xll.ESQuote("BLUECOAST.EQ-NSE","High")</f>
        <v>#NAME?</v>
      </c>
      <c r="I195" s="2" t="e">
        <f ca="1">_xll.ESQuote("BLUECOAST.EQ-NSE","Last")</f>
        <v>#NAME?</v>
      </c>
      <c r="J195" s="4" t="e">
        <f ca="1">_xll.ESQuote("BLUECOAST.EQ-NSE","Last_Time")</f>
        <v>#NAME?</v>
      </c>
      <c r="K195" s="2" t="e">
        <f ca="1">_xll.ESQuote("BLUECOAST.EQ-NSE","Low")</f>
        <v>#NAME?</v>
      </c>
      <c r="L195" s="2" t="e">
        <f ca="1">_xll.ESQuote("BLUECOAST.EQ-NSE","Open")</f>
        <v>#NAME?</v>
      </c>
      <c r="M195" s="2" t="e">
        <f ca="1">_xll.ESQuote("BLUECOAST.EQ-NSE","PrevPrice")</f>
        <v>#NAME?</v>
      </c>
      <c r="N195" s="2" t="e">
        <f ca="1">_xll.ESQuote("BLUECOAST.EQ-NSE","Symbol")</f>
        <v>#NAME?</v>
      </c>
      <c r="O195" s="2" t="e">
        <f ca="1">_xll.ESQuote("BLUECOAST.EQ-NSE","Volume")</f>
        <v>#NAME?</v>
      </c>
    </row>
    <row r="196" spans="1:15" x14ac:dyDescent="0.25">
      <c r="A196" s="1" t="s">
        <v>208</v>
      </c>
      <c r="B196" s="2" t="e">
        <f ca="1">_xll.ESQuote("BLUEDART.EQ-NSE","% Change")</f>
        <v>#NAME?</v>
      </c>
      <c r="C196" s="2" t="e">
        <f ca="1">_xll.ESQuote("BLUEDART.EQ-NSE","Change")</f>
        <v>#NAME?</v>
      </c>
      <c r="D196" s="2" t="e">
        <f ca="1">_xll.ESQuote("BLUEDART.EQ-NSE","Close")</f>
        <v>#NAME?</v>
      </c>
      <c r="E196" s="2" t="e">
        <f ca="1">_xll.ESQuote("BLUEDART.EQ-NSE","Company")</f>
        <v>#NAME?</v>
      </c>
      <c r="F196" s="2" t="e">
        <f ca="1">_xll.ESQuote("BLUEDART.EQ-NSE","Description")</f>
        <v>#NAME?</v>
      </c>
      <c r="G196" s="2" t="e">
        <f ca="1">_xll.ESQuote("BLUEDART.EQ-NSE","Exchange")</f>
        <v>#NAME?</v>
      </c>
      <c r="H196" s="2" t="e">
        <f ca="1">_xll.ESQuote("BLUEDART.EQ-NSE","High")</f>
        <v>#NAME?</v>
      </c>
      <c r="I196" s="2" t="e">
        <f ca="1">_xll.ESQuote("BLUEDART.EQ-NSE","Last")</f>
        <v>#NAME?</v>
      </c>
      <c r="J196" s="4" t="e">
        <f ca="1">_xll.ESQuote("BLUEDART.EQ-NSE","Last_Time")</f>
        <v>#NAME?</v>
      </c>
      <c r="K196" s="2" t="e">
        <f ca="1">_xll.ESQuote("BLUEDART.EQ-NSE","Low")</f>
        <v>#NAME?</v>
      </c>
      <c r="L196" s="2" t="e">
        <f ca="1">_xll.ESQuote("BLUEDART.EQ-NSE","Open")</f>
        <v>#NAME?</v>
      </c>
      <c r="M196" s="2" t="e">
        <f ca="1">_xll.ESQuote("BLUEDART.EQ-NSE","PrevPrice")</f>
        <v>#NAME?</v>
      </c>
      <c r="N196" s="2" t="e">
        <f ca="1">_xll.ESQuote("BLUEDART.EQ-NSE","Symbol")</f>
        <v>#NAME?</v>
      </c>
      <c r="O196" s="2" t="e">
        <f ca="1">_xll.ESQuote("BLUEDART.EQ-NSE","Volume")</f>
        <v>#NAME?</v>
      </c>
    </row>
    <row r="197" spans="1:15" x14ac:dyDescent="0.25">
      <c r="A197" s="1" t="s">
        <v>209</v>
      </c>
      <c r="B197" s="2" t="e">
        <f ca="1">_xll.ESQuote("BLUESTARCO.EQ-NSE","% Change")</f>
        <v>#NAME?</v>
      </c>
      <c r="C197" s="2" t="e">
        <f ca="1">_xll.ESQuote("BLUESTARCO.EQ-NSE","Change")</f>
        <v>#NAME?</v>
      </c>
      <c r="D197" s="2" t="e">
        <f ca="1">_xll.ESQuote("BLUESTARCO.EQ-NSE","Close")</f>
        <v>#NAME?</v>
      </c>
      <c r="E197" s="2" t="e">
        <f ca="1">_xll.ESQuote("BLUESTARCO.EQ-NSE","Company")</f>
        <v>#NAME?</v>
      </c>
      <c r="F197" s="2" t="e">
        <f ca="1">_xll.ESQuote("BLUESTARCO.EQ-NSE","Description")</f>
        <v>#NAME?</v>
      </c>
      <c r="G197" s="2" t="e">
        <f ca="1">_xll.ESQuote("BLUESTARCO.EQ-NSE","Exchange")</f>
        <v>#NAME?</v>
      </c>
      <c r="H197" s="2" t="e">
        <f ca="1">_xll.ESQuote("BLUESTARCO.EQ-NSE","High")</f>
        <v>#NAME?</v>
      </c>
      <c r="I197" s="2" t="e">
        <f ca="1">_xll.ESQuote("BLUESTARCO.EQ-NSE","Last")</f>
        <v>#NAME?</v>
      </c>
      <c r="J197" s="4" t="e">
        <f ca="1">_xll.ESQuote("BLUESTARCO.EQ-NSE","Last_Time")</f>
        <v>#NAME?</v>
      </c>
      <c r="K197" s="2" t="e">
        <f ca="1">_xll.ESQuote("BLUESTARCO.EQ-NSE","Low")</f>
        <v>#NAME?</v>
      </c>
      <c r="L197" s="2" t="e">
        <f ca="1">_xll.ESQuote("BLUESTARCO.EQ-NSE","Open")</f>
        <v>#NAME?</v>
      </c>
      <c r="M197" s="2" t="e">
        <f ca="1">_xll.ESQuote("BLUESTARCO.EQ-NSE","PrevPrice")</f>
        <v>#NAME?</v>
      </c>
      <c r="N197" s="2" t="e">
        <f ca="1">_xll.ESQuote("BLUESTARCO.EQ-NSE","Symbol")</f>
        <v>#NAME?</v>
      </c>
      <c r="O197" s="2" t="e">
        <f ca="1">_xll.ESQuote("BLUESTARCO.EQ-NSE","Volume")</f>
        <v>#NAME?</v>
      </c>
    </row>
    <row r="198" spans="1:15" x14ac:dyDescent="0.25">
      <c r="A198" s="1" t="s">
        <v>210</v>
      </c>
      <c r="B198" s="2" t="e">
        <f ca="1">_xll.ESQuote("BLUESTINFO.EQ-NSE","% Change")</f>
        <v>#NAME?</v>
      </c>
      <c r="C198" s="2" t="e">
        <f ca="1">_xll.ESQuote("BLUESTINFO.EQ-NSE","Change")</f>
        <v>#NAME?</v>
      </c>
      <c r="D198" s="2" t="e">
        <f ca="1">_xll.ESQuote("BLUESTINFO.EQ-NSE","Close")</f>
        <v>#NAME?</v>
      </c>
      <c r="E198" s="2" t="e">
        <f ca="1">_xll.ESQuote("BLUESTINFO.EQ-NSE","Company")</f>
        <v>#NAME?</v>
      </c>
      <c r="F198" s="2" t="e">
        <f ca="1">_xll.ESQuote("BLUESTINFO.EQ-NSE","Description")</f>
        <v>#NAME?</v>
      </c>
      <c r="G198" s="2" t="e">
        <f ca="1">_xll.ESQuote("BLUESTINFO.EQ-NSE","Exchange")</f>
        <v>#NAME?</v>
      </c>
      <c r="H198" s="2" t="e">
        <f ca="1">_xll.ESQuote("BLUESTINFO.EQ-NSE","High")</f>
        <v>#NAME?</v>
      </c>
      <c r="I198" s="2" t="e">
        <f ca="1">_xll.ESQuote("BLUESTINFO.EQ-NSE","Last")</f>
        <v>#NAME?</v>
      </c>
      <c r="J198" s="4" t="e">
        <f ca="1">_xll.ESQuote("BLUESTINFO.EQ-NSE","Last_Time")</f>
        <v>#NAME?</v>
      </c>
      <c r="K198" s="2" t="e">
        <f ca="1">_xll.ESQuote("BLUESTINFO.EQ-NSE","Low")</f>
        <v>#NAME?</v>
      </c>
      <c r="L198" s="2" t="e">
        <f ca="1">_xll.ESQuote("BLUESTINFO.EQ-NSE","Open")</f>
        <v>#NAME?</v>
      </c>
      <c r="M198" s="2" t="e">
        <f ca="1">_xll.ESQuote("BLUESTINFO.EQ-NSE","PrevPrice")</f>
        <v>#NAME?</v>
      </c>
      <c r="N198" s="2" t="e">
        <f ca="1">_xll.ESQuote("BLUESTINFO.EQ-NSE","Symbol")</f>
        <v>#NAME?</v>
      </c>
      <c r="O198" s="2" t="e">
        <f ca="1">_xll.ESQuote("BLUESTINFO.EQ-NSE","Volume")</f>
        <v>#NAME?</v>
      </c>
    </row>
    <row r="199" spans="1:15" x14ac:dyDescent="0.25">
      <c r="A199" s="1" t="s">
        <v>211</v>
      </c>
      <c r="B199" s="2" t="e">
        <f ca="1">_xll.ESQuote("BODALCHEM.EQ-NSE","% Change")</f>
        <v>#NAME?</v>
      </c>
      <c r="C199" s="2" t="e">
        <f ca="1">_xll.ESQuote("BODALCHEM.EQ-NSE","Change")</f>
        <v>#NAME?</v>
      </c>
      <c r="D199" s="2" t="e">
        <f ca="1">_xll.ESQuote("BODALCHEM.EQ-NSE","Close")</f>
        <v>#NAME?</v>
      </c>
      <c r="E199" s="2" t="e">
        <f ca="1">_xll.ESQuote("BODALCHEM.EQ-NSE","Company")</f>
        <v>#NAME?</v>
      </c>
      <c r="F199" s="2" t="e">
        <f ca="1">_xll.ESQuote("BODALCHEM.EQ-NSE","Description")</f>
        <v>#NAME?</v>
      </c>
      <c r="G199" s="2" t="e">
        <f ca="1">_xll.ESQuote("BODALCHEM.EQ-NSE","Exchange")</f>
        <v>#NAME?</v>
      </c>
      <c r="H199" s="2" t="e">
        <f ca="1">_xll.ESQuote("BODALCHEM.EQ-NSE","High")</f>
        <v>#NAME?</v>
      </c>
      <c r="I199" s="2" t="e">
        <f ca="1">_xll.ESQuote("BODALCHEM.EQ-NSE","Last")</f>
        <v>#NAME?</v>
      </c>
      <c r="J199" s="4" t="e">
        <f ca="1">_xll.ESQuote("BODALCHEM.EQ-NSE","Last_Time")</f>
        <v>#NAME?</v>
      </c>
      <c r="K199" s="2" t="e">
        <f ca="1">_xll.ESQuote("BODALCHEM.EQ-NSE","Low")</f>
        <v>#NAME?</v>
      </c>
      <c r="L199" s="2" t="e">
        <f ca="1">_xll.ESQuote("BODALCHEM.EQ-NSE","Open")</f>
        <v>#NAME?</v>
      </c>
      <c r="M199" s="2" t="e">
        <f ca="1">_xll.ESQuote("BODALCHEM.EQ-NSE","PrevPrice")</f>
        <v>#NAME?</v>
      </c>
      <c r="N199" s="2" t="e">
        <f ca="1">_xll.ESQuote("BODALCHEM.EQ-NSE","Symbol")</f>
        <v>#NAME?</v>
      </c>
      <c r="O199" s="2" t="e">
        <f ca="1">_xll.ESQuote("BODALCHEM.EQ-NSE","Volume")</f>
        <v>#NAME?</v>
      </c>
    </row>
    <row r="200" spans="1:15" x14ac:dyDescent="0.25">
      <c r="A200" s="1" t="s">
        <v>212</v>
      </c>
      <c r="B200" s="2" t="e">
        <f ca="1">_xll.ESQuote("BOMDYEING.EQ-NSE","% Change")</f>
        <v>#NAME?</v>
      </c>
      <c r="C200" s="2" t="e">
        <f ca="1">_xll.ESQuote("BOMDYEING.EQ-NSE","Change")</f>
        <v>#NAME?</v>
      </c>
      <c r="D200" s="2" t="e">
        <f ca="1">_xll.ESQuote("BOMDYEING.EQ-NSE","Close")</f>
        <v>#NAME?</v>
      </c>
      <c r="E200" s="2" t="e">
        <f ca="1">_xll.ESQuote("BOMDYEING.EQ-NSE","Company")</f>
        <v>#NAME?</v>
      </c>
      <c r="F200" s="2" t="e">
        <f ca="1">_xll.ESQuote("BOMDYEING.EQ-NSE","Description")</f>
        <v>#NAME?</v>
      </c>
      <c r="G200" s="2" t="e">
        <f ca="1">_xll.ESQuote("BOMDYEING.EQ-NSE","Exchange")</f>
        <v>#NAME?</v>
      </c>
      <c r="H200" s="2" t="e">
        <f ca="1">_xll.ESQuote("BOMDYEING.EQ-NSE","High")</f>
        <v>#NAME?</v>
      </c>
      <c r="I200" s="2" t="e">
        <f ca="1">_xll.ESQuote("BOMDYEING.EQ-NSE","Last")</f>
        <v>#NAME?</v>
      </c>
      <c r="J200" s="4" t="e">
        <f ca="1">_xll.ESQuote("BOMDYEING.EQ-NSE","Last_Time")</f>
        <v>#NAME?</v>
      </c>
      <c r="K200" s="2" t="e">
        <f ca="1">_xll.ESQuote("BOMDYEING.EQ-NSE","Low")</f>
        <v>#NAME?</v>
      </c>
      <c r="L200" s="2" t="e">
        <f ca="1">_xll.ESQuote("BOMDYEING.EQ-NSE","Open")</f>
        <v>#NAME?</v>
      </c>
      <c r="M200" s="2" t="e">
        <f ca="1">_xll.ESQuote("BOMDYEING.EQ-NSE","PrevPrice")</f>
        <v>#NAME?</v>
      </c>
      <c r="N200" s="2" t="e">
        <f ca="1">_xll.ESQuote("BOMDYEING.EQ-NSE","Symbol")</f>
        <v>#NAME?</v>
      </c>
      <c r="O200" s="2" t="e">
        <f ca="1">_xll.ESQuote("BOMDYEING.EQ-NSE","Volume")</f>
        <v>#NAME?</v>
      </c>
    </row>
    <row r="201" spans="1:15" x14ac:dyDescent="0.25">
      <c r="A201" s="1" t="s">
        <v>213</v>
      </c>
      <c r="B201" s="2" t="e">
        <f ca="1">_xll.ESQuote("BOSCHLTD.EQ-NSE","% Change")</f>
        <v>#NAME?</v>
      </c>
      <c r="C201" s="2" t="e">
        <f ca="1">_xll.ESQuote("BOSCHLTD.EQ-NSE","Change")</f>
        <v>#NAME?</v>
      </c>
      <c r="D201" s="2" t="e">
        <f ca="1">_xll.ESQuote("BOSCHLTD.EQ-NSE","Close")</f>
        <v>#NAME?</v>
      </c>
      <c r="E201" s="2" t="e">
        <f ca="1">_xll.ESQuote("BOSCHLTD.EQ-NSE","Company")</f>
        <v>#NAME?</v>
      </c>
      <c r="F201" s="2" t="e">
        <f ca="1">_xll.ESQuote("BOSCHLTD.EQ-NSE","Description")</f>
        <v>#NAME?</v>
      </c>
      <c r="G201" s="2" t="e">
        <f ca="1">_xll.ESQuote("BOSCHLTD.EQ-NSE","Exchange")</f>
        <v>#NAME?</v>
      </c>
      <c r="H201" s="2" t="e">
        <f ca="1">_xll.ESQuote("BOSCHLTD.EQ-NSE","High")</f>
        <v>#NAME?</v>
      </c>
      <c r="I201" s="2" t="e">
        <f ca="1">_xll.ESQuote("BOSCHLTD.EQ-NSE","Last")</f>
        <v>#NAME?</v>
      </c>
      <c r="J201" s="4" t="e">
        <f ca="1">_xll.ESQuote("BOSCHLTD.EQ-NSE","Last_Time")</f>
        <v>#NAME?</v>
      </c>
      <c r="K201" s="2" t="e">
        <f ca="1">_xll.ESQuote("BOSCHLTD.EQ-NSE","Low")</f>
        <v>#NAME?</v>
      </c>
      <c r="L201" s="2" t="e">
        <f ca="1">_xll.ESQuote("BOSCHLTD.EQ-NSE","Open")</f>
        <v>#NAME?</v>
      </c>
      <c r="M201" s="2" t="e">
        <f ca="1">_xll.ESQuote("BOSCHLTD.EQ-NSE","PrevPrice")</f>
        <v>#NAME?</v>
      </c>
      <c r="N201" s="2" t="e">
        <f ca="1">_xll.ESQuote("BOSCHLTD.EQ-NSE","Symbol")</f>
        <v>#NAME?</v>
      </c>
      <c r="O201" s="2" t="e">
        <f ca="1">_xll.ESQuote("BOSCHLTD.EQ-NSE","Volume")</f>
        <v>#NAME?</v>
      </c>
    </row>
    <row r="202" spans="1:15" x14ac:dyDescent="0.25">
      <c r="A202" s="1" t="s">
        <v>214</v>
      </c>
      <c r="B202" s="2" t="e">
        <f ca="1">_xll.ESQuote("BPCL.EQ-NSE","% Change")</f>
        <v>#NAME?</v>
      </c>
      <c r="C202" s="2" t="e">
        <f ca="1">_xll.ESQuote("BPCL.EQ-NSE","Change")</f>
        <v>#NAME?</v>
      </c>
      <c r="D202" s="2" t="e">
        <f ca="1">_xll.ESQuote("BPCL.EQ-NSE","Close")</f>
        <v>#NAME?</v>
      </c>
      <c r="E202" s="2" t="e">
        <f ca="1">_xll.ESQuote("BPCL.EQ-NSE","Company")</f>
        <v>#NAME?</v>
      </c>
      <c r="F202" s="2" t="e">
        <f ca="1">_xll.ESQuote("BPCL.EQ-NSE","Description")</f>
        <v>#NAME?</v>
      </c>
      <c r="G202" s="2" t="e">
        <f ca="1">_xll.ESQuote("BPCL.EQ-NSE","Exchange")</f>
        <v>#NAME?</v>
      </c>
      <c r="H202" s="2" t="e">
        <f ca="1">_xll.ESQuote("BPCL.EQ-NSE","High")</f>
        <v>#NAME?</v>
      </c>
      <c r="I202" s="2" t="e">
        <f ca="1">_xll.ESQuote("BPCL.EQ-NSE","Last")</f>
        <v>#NAME?</v>
      </c>
      <c r="J202" s="4" t="e">
        <f ca="1">_xll.ESQuote("BPCL.EQ-NSE","Last_Time")</f>
        <v>#NAME?</v>
      </c>
      <c r="K202" s="2" t="e">
        <f ca="1">_xll.ESQuote("BPCL.EQ-NSE","Low")</f>
        <v>#NAME?</v>
      </c>
      <c r="L202" s="2" t="e">
        <f ca="1">_xll.ESQuote("BPCL.EQ-NSE","Open")</f>
        <v>#NAME?</v>
      </c>
      <c r="M202" s="2" t="e">
        <f ca="1">_xll.ESQuote("BPCL.EQ-NSE","PrevPrice")</f>
        <v>#NAME?</v>
      </c>
      <c r="N202" s="2" t="e">
        <f ca="1">_xll.ESQuote("BPCL.EQ-NSE","Symbol")</f>
        <v>#NAME?</v>
      </c>
      <c r="O202" s="2" t="e">
        <f ca="1">_xll.ESQuote("BPCL.EQ-NSE","Volume")</f>
        <v>#NAME?</v>
      </c>
    </row>
    <row r="203" spans="1:15" x14ac:dyDescent="0.25">
      <c r="A203" s="1" t="s">
        <v>215</v>
      </c>
      <c r="B203" s="2" t="e">
        <f ca="1">_xll.ESQuote("BPL.EQ-NSE","% Change")</f>
        <v>#NAME?</v>
      </c>
      <c r="C203" s="2" t="e">
        <f ca="1">_xll.ESQuote("BPL.EQ-NSE","Change")</f>
        <v>#NAME?</v>
      </c>
      <c r="D203" s="2" t="e">
        <f ca="1">_xll.ESQuote("BPL.EQ-NSE","Close")</f>
        <v>#NAME?</v>
      </c>
      <c r="E203" s="2" t="e">
        <f ca="1">_xll.ESQuote("BPL.EQ-NSE","Company")</f>
        <v>#NAME?</v>
      </c>
      <c r="F203" s="2" t="e">
        <f ca="1">_xll.ESQuote("BPL.EQ-NSE","Description")</f>
        <v>#NAME?</v>
      </c>
      <c r="G203" s="2" t="e">
        <f ca="1">_xll.ESQuote("BPL.EQ-NSE","Exchange")</f>
        <v>#NAME?</v>
      </c>
      <c r="H203" s="2" t="e">
        <f ca="1">_xll.ESQuote("BPL.EQ-NSE","High")</f>
        <v>#NAME?</v>
      </c>
      <c r="I203" s="2" t="e">
        <f ca="1">_xll.ESQuote("BPL.EQ-NSE","Last")</f>
        <v>#NAME?</v>
      </c>
      <c r="J203" s="4" t="e">
        <f ca="1">_xll.ESQuote("BPL.EQ-NSE","Last_Time")</f>
        <v>#NAME?</v>
      </c>
      <c r="K203" s="2" t="e">
        <f ca="1">_xll.ESQuote("BPL.EQ-NSE","Low")</f>
        <v>#NAME?</v>
      </c>
      <c r="L203" s="2" t="e">
        <f ca="1">_xll.ESQuote("BPL.EQ-NSE","Open")</f>
        <v>#NAME?</v>
      </c>
      <c r="M203" s="2" t="e">
        <f ca="1">_xll.ESQuote("BPL.EQ-NSE","PrevPrice")</f>
        <v>#NAME?</v>
      </c>
      <c r="N203" s="2" t="e">
        <f ca="1">_xll.ESQuote("BPL.EQ-NSE","Symbol")</f>
        <v>#NAME?</v>
      </c>
      <c r="O203" s="2" t="e">
        <f ca="1">_xll.ESQuote("BPL.EQ-NSE","Volume")</f>
        <v>#NAME?</v>
      </c>
    </row>
    <row r="204" spans="1:15" x14ac:dyDescent="0.25">
      <c r="A204" s="1" t="s">
        <v>216</v>
      </c>
      <c r="B204" s="2" t="e">
        <f ca="1">_xll.ESQuote("BRFL.EQ-NSE","% Change")</f>
        <v>#NAME?</v>
      </c>
      <c r="C204" s="2" t="e">
        <f ca="1">_xll.ESQuote("BRFL.EQ-NSE","Change")</f>
        <v>#NAME?</v>
      </c>
      <c r="D204" s="2" t="e">
        <f ca="1">_xll.ESQuote("BRFL.EQ-NSE","Close")</f>
        <v>#NAME?</v>
      </c>
      <c r="E204" s="2" t="e">
        <f ca="1">_xll.ESQuote("BRFL.EQ-NSE","Company")</f>
        <v>#NAME?</v>
      </c>
      <c r="F204" s="2" t="e">
        <f ca="1">_xll.ESQuote("BRFL.EQ-NSE","Description")</f>
        <v>#NAME?</v>
      </c>
      <c r="G204" s="2" t="e">
        <f ca="1">_xll.ESQuote("BRFL.EQ-NSE","Exchange")</f>
        <v>#NAME?</v>
      </c>
      <c r="H204" s="2" t="e">
        <f ca="1">_xll.ESQuote("BRFL.EQ-NSE","High")</f>
        <v>#NAME?</v>
      </c>
      <c r="I204" s="2" t="e">
        <f ca="1">_xll.ESQuote("BRFL.EQ-NSE","Last")</f>
        <v>#NAME?</v>
      </c>
      <c r="J204" s="4" t="e">
        <f ca="1">_xll.ESQuote("BRFL.EQ-NSE","Last_Time")</f>
        <v>#NAME?</v>
      </c>
      <c r="K204" s="2" t="e">
        <f ca="1">_xll.ESQuote("BRFL.EQ-NSE","Low")</f>
        <v>#NAME?</v>
      </c>
      <c r="L204" s="2" t="e">
        <f ca="1">_xll.ESQuote("BRFL.EQ-NSE","Open")</f>
        <v>#NAME?</v>
      </c>
      <c r="M204" s="2" t="e">
        <f ca="1">_xll.ESQuote("BRFL.EQ-NSE","PrevPrice")</f>
        <v>#NAME?</v>
      </c>
      <c r="N204" s="2" t="e">
        <f ca="1">_xll.ESQuote("BRFL.EQ-NSE","Symbol")</f>
        <v>#NAME?</v>
      </c>
      <c r="O204" s="2" t="e">
        <f ca="1">_xll.ESQuote("BRFL.EQ-NSE","Volume")</f>
        <v>#NAME?</v>
      </c>
    </row>
    <row r="205" spans="1:15" x14ac:dyDescent="0.25">
      <c r="A205" s="1" t="s">
        <v>217</v>
      </c>
      <c r="B205" s="2" t="e">
        <f ca="1">_xll.ESQuote("BRIGADE.EQ-NSE","% Change")</f>
        <v>#NAME?</v>
      </c>
      <c r="C205" s="2" t="e">
        <f ca="1">_xll.ESQuote("BRIGADE.EQ-NSE","Change")</f>
        <v>#NAME?</v>
      </c>
      <c r="D205" s="2" t="e">
        <f ca="1">_xll.ESQuote("BRIGADE.EQ-NSE","Close")</f>
        <v>#NAME?</v>
      </c>
      <c r="E205" s="2" t="e">
        <f ca="1">_xll.ESQuote("BRIGADE.EQ-NSE","Company")</f>
        <v>#NAME?</v>
      </c>
      <c r="F205" s="2" t="e">
        <f ca="1">_xll.ESQuote("BRIGADE.EQ-NSE","Description")</f>
        <v>#NAME?</v>
      </c>
      <c r="G205" s="2" t="e">
        <f ca="1">_xll.ESQuote("BRIGADE.EQ-NSE","Exchange")</f>
        <v>#NAME?</v>
      </c>
      <c r="H205" s="2" t="e">
        <f ca="1">_xll.ESQuote("BRIGADE.EQ-NSE","High")</f>
        <v>#NAME?</v>
      </c>
      <c r="I205" s="2" t="e">
        <f ca="1">_xll.ESQuote("BRIGADE.EQ-NSE","Last")</f>
        <v>#NAME?</v>
      </c>
      <c r="J205" s="4" t="e">
        <f ca="1">_xll.ESQuote("BRIGADE.EQ-NSE","Last_Time")</f>
        <v>#NAME?</v>
      </c>
      <c r="K205" s="2" t="e">
        <f ca="1">_xll.ESQuote("BRIGADE.EQ-NSE","Low")</f>
        <v>#NAME?</v>
      </c>
      <c r="L205" s="2" t="e">
        <f ca="1">_xll.ESQuote("BRIGADE.EQ-NSE","Open")</f>
        <v>#NAME?</v>
      </c>
      <c r="M205" s="2" t="e">
        <f ca="1">_xll.ESQuote("BRIGADE.EQ-NSE","PrevPrice")</f>
        <v>#NAME?</v>
      </c>
      <c r="N205" s="2" t="e">
        <f ca="1">_xll.ESQuote("BRIGADE.EQ-NSE","Symbol")</f>
        <v>#NAME?</v>
      </c>
      <c r="O205" s="2" t="e">
        <f ca="1">_xll.ESQuote("BRIGADE.EQ-NSE","Volume")</f>
        <v>#NAME?</v>
      </c>
    </row>
    <row r="206" spans="1:15" x14ac:dyDescent="0.25">
      <c r="A206" s="1" t="s">
        <v>218</v>
      </c>
      <c r="B206" s="2" t="e">
        <f ca="1">_xll.ESQuote("BRITANNIA.EQ-NSE","% Change")</f>
        <v>#NAME?</v>
      </c>
      <c r="C206" s="2" t="e">
        <f ca="1">_xll.ESQuote("BRITANNIA.EQ-NSE","Change")</f>
        <v>#NAME?</v>
      </c>
      <c r="D206" s="2" t="e">
        <f ca="1">_xll.ESQuote("BRITANNIA.EQ-NSE","Close")</f>
        <v>#NAME?</v>
      </c>
      <c r="E206" s="2" t="e">
        <f ca="1">_xll.ESQuote("BRITANNIA.EQ-NSE","Company")</f>
        <v>#NAME?</v>
      </c>
      <c r="F206" s="2" t="e">
        <f ca="1">_xll.ESQuote("BRITANNIA.EQ-NSE","Description")</f>
        <v>#NAME?</v>
      </c>
      <c r="G206" s="2" t="e">
        <f ca="1">_xll.ESQuote("BRITANNIA.EQ-NSE","Exchange")</f>
        <v>#NAME?</v>
      </c>
      <c r="H206" s="2" t="e">
        <f ca="1">_xll.ESQuote("BRITANNIA.EQ-NSE","High")</f>
        <v>#NAME?</v>
      </c>
      <c r="I206" s="2" t="e">
        <f ca="1">_xll.ESQuote("BRITANNIA.EQ-NSE","Last")</f>
        <v>#NAME?</v>
      </c>
      <c r="J206" s="4" t="e">
        <f ca="1">_xll.ESQuote("BRITANNIA.EQ-NSE","Last_Time")</f>
        <v>#NAME?</v>
      </c>
      <c r="K206" s="2" t="e">
        <f ca="1">_xll.ESQuote("BRITANNIA.EQ-NSE","Low")</f>
        <v>#NAME?</v>
      </c>
      <c r="L206" s="2" t="e">
        <f ca="1">_xll.ESQuote("BRITANNIA.EQ-NSE","Open")</f>
        <v>#NAME?</v>
      </c>
      <c r="M206" s="2" t="e">
        <f ca="1">_xll.ESQuote("BRITANNIA.EQ-NSE","PrevPrice")</f>
        <v>#NAME?</v>
      </c>
      <c r="N206" s="2" t="e">
        <f ca="1">_xll.ESQuote("BRITANNIA.EQ-NSE","Symbol")</f>
        <v>#NAME?</v>
      </c>
      <c r="O206" s="2" t="e">
        <f ca="1">_xll.ESQuote("BRITANNIA.EQ-NSE","Volume")</f>
        <v>#NAME?</v>
      </c>
    </row>
    <row r="207" spans="1:15" x14ac:dyDescent="0.25">
      <c r="A207" s="1" t="s">
        <v>219</v>
      </c>
      <c r="B207" s="2" t="e">
        <f ca="1">_xll.ESQuote("BROADCAST.EQ-NSE","% Change")</f>
        <v>#NAME?</v>
      </c>
      <c r="C207" s="2" t="e">
        <f ca="1">_xll.ESQuote("BROADCAST.EQ-NSE","Change")</f>
        <v>#NAME?</v>
      </c>
      <c r="D207" s="2" t="e">
        <f ca="1">_xll.ESQuote("BROADCAST.EQ-NSE","Close")</f>
        <v>#NAME?</v>
      </c>
      <c r="E207" s="2" t="e">
        <f ca="1">_xll.ESQuote("BROADCAST.EQ-NSE","Company")</f>
        <v>#NAME?</v>
      </c>
      <c r="F207" s="2" t="e">
        <f ca="1">_xll.ESQuote("BROADCAST.EQ-NSE","Description")</f>
        <v>#NAME?</v>
      </c>
      <c r="G207" s="2" t="e">
        <f ca="1">_xll.ESQuote("BROADCAST.EQ-NSE","Exchange")</f>
        <v>#NAME?</v>
      </c>
      <c r="H207" s="2" t="e">
        <f ca="1">_xll.ESQuote("BROADCAST.EQ-NSE","High")</f>
        <v>#NAME?</v>
      </c>
      <c r="I207" s="2" t="e">
        <f ca="1">_xll.ESQuote("BROADCAST.EQ-NSE","Last")</f>
        <v>#NAME?</v>
      </c>
      <c r="J207" s="4" t="e">
        <f ca="1">_xll.ESQuote("BROADCAST.EQ-NSE","Last_Time")</f>
        <v>#NAME?</v>
      </c>
      <c r="K207" s="2" t="e">
        <f ca="1">_xll.ESQuote("BROADCAST.EQ-NSE","Low")</f>
        <v>#NAME?</v>
      </c>
      <c r="L207" s="2" t="e">
        <f ca="1">_xll.ESQuote("BROADCAST.EQ-NSE","Open")</f>
        <v>#NAME?</v>
      </c>
      <c r="M207" s="2" t="e">
        <f ca="1">_xll.ESQuote("BROADCAST.EQ-NSE","PrevPrice")</f>
        <v>#NAME?</v>
      </c>
      <c r="N207" s="2" t="e">
        <f ca="1">_xll.ESQuote("BROADCAST.EQ-NSE","Symbol")</f>
        <v>#NAME?</v>
      </c>
      <c r="O207" s="2" t="e">
        <f ca="1">_xll.ESQuote("BROADCAST.EQ-NSE","Volume")</f>
        <v>#NAME?</v>
      </c>
    </row>
    <row r="208" spans="1:15" x14ac:dyDescent="0.25">
      <c r="A208" s="1" t="s">
        <v>220</v>
      </c>
      <c r="B208" s="2" t="e">
        <f ca="1">_xll.ESQuote("BROOKS.EQ-NSE","% Change")</f>
        <v>#NAME?</v>
      </c>
      <c r="C208" s="2" t="e">
        <f ca="1">_xll.ESQuote("BROOKS.EQ-NSE","Change")</f>
        <v>#NAME?</v>
      </c>
      <c r="D208" s="2" t="e">
        <f ca="1">_xll.ESQuote("BROOKS.EQ-NSE","Close")</f>
        <v>#NAME?</v>
      </c>
      <c r="E208" s="2" t="e">
        <f ca="1">_xll.ESQuote("BROOKS.EQ-NSE","Company")</f>
        <v>#NAME?</v>
      </c>
      <c r="F208" s="2" t="e">
        <f ca="1">_xll.ESQuote("BROOKS.EQ-NSE","Description")</f>
        <v>#NAME?</v>
      </c>
      <c r="G208" s="2" t="e">
        <f ca="1">_xll.ESQuote("BROOKS.EQ-NSE","Exchange")</f>
        <v>#NAME?</v>
      </c>
      <c r="H208" s="2" t="e">
        <f ca="1">_xll.ESQuote("BROOKS.EQ-NSE","High")</f>
        <v>#NAME?</v>
      </c>
      <c r="I208" s="2" t="e">
        <f ca="1">_xll.ESQuote("BROOKS.EQ-NSE","Last")</f>
        <v>#NAME?</v>
      </c>
      <c r="J208" s="4" t="e">
        <f ca="1">_xll.ESQuote("BROOKS.EQ-NSE","Last_Time")</f>
        <v>#NAME?</v>
      </c>
      <c r="K208" s="2" t="e">
        <f ca="1">_xll.ESQuote("BROOKS.EQ-NSE","Low")</f>
        <v>#NAME?</v>
      </c>
      <c r="L208" s="2" t="e">
        <f ca="1">_xll.ESQuote("BROOKS.EQ-NSE","Open")</f>
        <v>#NAME?</v>
      </c>
      <c r="M208" s="2" t="e">
        <f ca="1">_xll.ESQuote("BROOKS.EQ-NSE","PrevPrice")</f>
        <v>#NAME?</v>
      </c>
      <c r="N208" s="2" t="e">
        <f ca="1">_xll.ESQuote("BROOKS.EQ-NSE","Symbol")</f>
        <v>#NAME?</v>
      </c>
      <c r="O208" s="2" t="e">
        <f ca="1">_xll.ESQuote("BROOKS.EQ-NSE","Volume")</f>
        <v>#NAME?</v>
      </c>
    </row>
    <row r="209" spans="1:15" x14ac:dyDescent="0.25">
      <c r="A209" s="1" t="s">
        <v>221</v>
      </c>
      <c r="B209" s="2" t="e">
        <f ca="1">_xll.ESQuote("BSELINFRA.EQ-NSE","% Change")</f>
        <v>#NAME?</v>
      </c>
      <c r="C209" s="2" t="e">
        <f ca="1">_xll.ESQuote("BSELINFRA.EQ-NSE","Change")</f>
        <v>#NAME?</v>
      </c>
      <c r="D209" s="2" t="e">
        <f ca="1">_xll.ESQuote("BSELINFRA.EQ-NSE","Close")</f>
        <v>#NAME?</v>
      </c>
      <c r="E209" s="2" t="e">
        <f ca="1">_xll.ESQuote("BSELINFRA.EQ-NSE","Company")</f>
        <v>#NAME?</v>
      </c>
      <c r="F209" s="2" t="e">
        <f ca="1">_xll.ESQuote("BSELINFRA.EQ-NSE","Description")</f>
        <v>#NAME?</v>
      </c>
      <c r="G209" s="2" t="e">
        <f ca="1">_xll.ESQuote("BSELINFRA.EQ-NSE","Exchange")</f>
        <v>#NAME?</v>
      </c>
      <c r="H209" s="2" t="e">
        <f ca="1">_xll.ESQuote("BSELINFRA.EQ-NSE","High")</f>
        <v>#NAME?</v>
      </c>
      <c r="I209" s="2" t="e">
        <f ca="1">_xll.ESQuote("BSELINFRA.EQ-NSE","Last")</f>
        <v>#NAME?</v>
      </c>
      <c r="J209" s="4" t="e">
        <f ca="1">_xll.ESQuote("BSELINFRA.EQ-NSE","Last_Time")</f>
        <v>#NAME?</v>
      </c>
      <c r="K209" s="2" t="e">
        <f ca="1">_xll.ESQuote("BSELINFRA.EQ-NSE","Low")</f>
        <v>#NAME?</v>
      </c>
      <c r="L209" s="2" t="e">
        <f ca="1">_xll.ESQuote("BSELINFRA.EQ-NSE","Open")</f>
        <v>#NAME?</v>
      </c>
      <c r="M209" s="2" t="e">
        <f ca="1">_xll.ESQuote("BSELINFRA.EQ-NSE","PrevPrice")</f>
        <v>#NAME?</v>
      </c>
      <c r="N209" s="2" t="e">
        <f ca="1">_xll.ESQuote("BSELINFRA.EQ-NSE","Symbol")</f>
        <v>#NAME?</v>
      </c>
      <c r="O209" s="2" t="e">
        <f ca="1">_xll.ESQuote("BSELINFRA.EQ-NSE","Volume")</f>
        <v>#NAME?</v>
      </c>
    </row>
    <row r="210" spans="1:15" x14ac:dyDescent="0.25">
      <c r="A210" s="1" t="s">
        <v>222</v>
      </c>
      <c r="B210" s="2" t="e">
        <f ca="1">_xll.ESQuote("BSL.EQ-NSE","% Change")</f>
        <v>#NAME?</v>
      </c>
      <c r="C210" s="2" t="e">
        <f ca="1">_xll.ESQuote("BSL.EQ-NSE","Change")</f>
        <v>#NAME?</v>
      </c>
      <c r="D210" s="2" t="e">
        <f ca="1">_xll.ESQuote("BSL.EQ-NSE","Close")</f>
        <v>#NAME?</v>
      </c>
      <c r="E210" s="2" t="e">
        <f ca="1">_xll.ESQuote("BSL.EQ-NSE","Company")</f>
        <v>#NAME?</v>
      </c>
      <c r="F210" s="2" t="e">
        <f ca="1">_xll.ESQuote("BSL.EQ-NSE","Description")</f>
        <v>#NAME?</v>
      </c>
      <c r="G210" s="2" t="e">
        <f ca="1">_xll.ESQuote("BSL.EQ-NSE","Exchange")</f>
        <v>#NAME?</v>
      </c>
      <c r="H210" s="2" t="e">
        <f ca="1">_xll.ESQuote("BSL.EQ-NSE","High")</f>
        <v>#NAME?</v>
      </c>
      <c r="I210" s="2" t="e">
        <f ca="1">_xll.ESQuote("BSL.EQ-NSE","Last")</f>
        <v>#NAME?</v>
      </c>
      <c r="J210" s="4" t="e">
        <f ca="1">_xll.ESQuote("BSL.EQ-NSE","Last_Time")</f>
        <v>#NAME?</v>
      </c>
      <c r="K210" s="2" t="e">
        <f ca="1">_xll.ESQuote("BSL.EQ-NSE","Low")</f>
        <v>#NAME?</v>
      </c>
      <c r="L210" s="2" t="e">
        <f ca="1">_xll.ESQuote("BSL.EQ-NSE","Open")</f>
        <v>#NAME?</v>
      </c>
      <c r="M210" s="2" t="e">
        <f ca="1">_xll.ESQuote("BSL.EQ-NSE","PrevPrice")</f>
        <v>#NAME?</v>
      </c>
      <c r="N210" s="2" t="e">
        <f ca="1">_xll.ESQuote("BSL.EQ-NSE","Symbol")</f>
        <v>#NAME?</v>
      </c>
      <c r="O210" s="2" t="e">
        <f ca="1">_xll.ESQuote("BSL.EQ-NSE","Volume")</f>
        <v>#NAME?</v>
      </c>
    </row>
    <row r="211" spans="1:15" x14ac:dyDescent="0.25">
      <c r="A211" s="1" t="s">
        <v>223</v>
      </c>
      <c r="B211" s="2" t="e">
        <f ca="1">_xll.ESQuote("BSLIMITED.EQ-NSE","% Change")</f>
        <v>#NAME?</v>
      </c>
      <c r="C211" s="2" t="e">
        <f ca="1">_xll.ESQuote("BSLIMITED.EQ-NSE","Change")</f>
        <v>#NAME?</v>
      </c>
      <c r="D211" s="2" t="e">
        <f ca="1">_xll.ESQuote("BSLIMITED.EQ-NSE","Close")</f>
        <v>#NAME?</v>
      </c>
      <c r="E211" s="2" t="e">
        <f ca="1">_xll.ESQuote("BSLIMITED.EQ-NSE","Company")</f>
        <v>#NAME?</v>
      </c>
      <c r="F211" s="2" t="e">
        <f ca="1">_xll.ESQuote("BSLIMITED.EQ-NSE","Description")</f>
        <v>#NAME?</v>
      </c>
      <c r="G211" s="2" t="e">
        <f ca="1">_xll.ESQuote("BSLIMITED.EQ-NSE","Exchange")</f>
        <v>#NAME?</v>
      </c>
      <c r="H211" s="2" t="e">
        <f ca="1">_xll.ESQuote("BSLIMITED.EQ-NSE","High")</f>
        <v>#NAME?</v>
      </c>
      <c r="I211" s="2" t="e">
        <f ca="1">_xll.ESQuote("BSLIMITED.EQ-NSE","Last")</f>
        <v>#NAME?</v>
      </c>
      <c r="J211" s="4" t="e">
        <f ca="1">_xll.ESQuote("BSLIMITED.EQ-NSE","Last_Time")</f>
        <v>#NAME?</v>
      </c>
      <c r="K211" s="2" t="e">
        <f ca="1">_xll.ESQuote("BSLIMITED.EQ-NSE","Low")</f>
        <v>#NAME?</v>
      </c>
      <c r="L211" s="2" t="e">
        <f ca="1">_xll.ESQuote("BSLIMITED.EQ-NSE","Open")</f>
        <v>#NAME?</v>
      </c>
      <c r="M211" s="2" t="e">
        <f ca="1">_xll.ESQuote("BSLIMITED.EQ-NSE","PrevPrice")</f>
        <v>#NAME?</v>
      </c>
      <c r="N211" s="2" t="e">
        <f ca="1">_xll.ESQuote("BSLIMITED.EQ-NSE","Symbol")</f>
        <v>#NAME?</v>
      </c>
      <c r="O211" s="2" t="e">
        <f ca="1">_xll.ESQuote("BSLIMITED.EQ-NSE","Volume")</f>
        <v>#NAME?</v>
      </c>
    </row>
    <row r="212" spans="1:15" x14ac:dyDescent="0.25">
      <c r="A212" s="1" t="s">
        <v>224</v>
      </c>
      <c r="B212" s="2" t="e">
        <f ca="1">_xll.ESQuote("BURNPUR.EQ-NSE","% Change")</f>
        <v>#NAME?</v>
      </c>
      <c r="C212" s="2" t="e">
        <f ca="1">_xll.ESQuote("BURNPUR.EQ-NSE","Change")</f>
        <v>#NAME?</v>
      </c>
      <c r="D212" s="2" t="e">
        <f ca="1">_xll.ESQuote("BURNPUR.EQ-NSE","Close")</f>
        <v>#NAME?</v>
      </c>
      <c r="E212" s="2" t="e">
        <f ca="1">_xll.ESQuote("BURNPUR.EQ-NSE","Company")</f>
        <v>#NAME?</v>
      </c>
      <c r="F212" s="2" t="e">
        <f ca="1">_xll.ESQuote("BURNPUR.EQ-NSE","Description")</f>
        <v>#NAME?</v>
      </c>
      <c r="G212" s="2" t="e">
        <f ca="1">_xll.ESQuote("BURNPUR.EQ-NSE","Exchange")</f>
        <v>#NAME?</v>
      </c>
      <c r="H212" s="2" t="e">
        <f ca="1">_xll.ESQuote("BURNPUR.EQ-NSE","High")</f>
        <v>#NAME?</v>
      </c>
      <c r="I212" s="2" t="e">
        <f ca="1">_xll.ESQuote("BURNPUR.EQ-NSE","Last")</f>
        <v>#NAME?</v>
      </c>
      <c r="J212" s="4" t="e">
        <f ca="1">_xll.ESQuote("BURNPUR.EQ-NSE","Last_Time")</f>
        <v>#NAME?</v>
      </c>
      <c r="K212" s="2" t="e">
        <f ca="1">_xll.ESQuote("BURNPUR.EQ-NSE","Low")</f>
        <v>#NAME?</v>
      </c>
      <c r="L212" s="2" t="e">
        <f ca="1">_xll.ESQuote("BURNPUR.EQ-NSE","Open")</f>
        <v>#NAME?</v>
      </c>
      <c r="M212" s="2" t="e">
        <f ca="1">_xll.ESQuote("BURNPUR.EQ-NSE","PrevPrice")</f>
        <v>#NAME?</v>
      </c>
      <c r="N212" s="2" t="e">
        <f ca="1">_xll.ESQuote("BURNPUR.EQ-NSE","Symbol")</f>
        <v>#NAME?</v>
      </c>
      <c r="O212" s="2" t="e">
        <f ca="1">_xll.ESQuote("BURNPUR.EQ-NSE","Volume")</f>
        <v>#NAME?</v>
      </c>
    </row>
    <row r="213" spans="1:15" x14ac:dyDescent="0.25">
      <c r="A213" s="1" t="s">
        <v>225</v>
      </c>
      <c r="B213" s="2" t="e">
        <f ca="1">_xll.ESQuote("BUTTERFLY.EQ-NSE","% Change")</f>
        <v>#NAME?</v>
      </c>
      <c r="C213" s="2" t="e">
        <f ca="1">_xll.ESQuote("BUTTERFLY.EQ-NSE","Change")</f>
        <v>#NAME?</v>
      </c>
      <c r="D213" s="2" t="e">
        <f ca="1">_xll.ESQuote("BUTTERFLY.EQ-NSE","Close")</f>
        <v>#NAME?</v>
      </c>
      <c r="E213" s="2" t="e">
        <f ca="1">_xll.ESQuote("BUTTERFLY.EQ-NSE","Company")</f>
        <v>#NAME?</v>
      </c>
      <c r="F213" s="2" t="e">
        <f ca="1">_xll.ESQuote("BUTTERFLY.EQ-NSE","Description")</f>
        <v>#NAME?</v>
      </c>
      <c r="G213" s="2" t="e">
        <f ca="1">_xll.ESQuote("BUTTERFLY.EQ-NSE","Exchange")</f>
        <v>#NAME?</v>
      </c>
      <c r="H213" s="2" t="e">
        <f ca="1">_xll.ESQuote("BUTTERFLY.EQ-NSE","High")</f>
        <v>#NAME?</v>
      </c>
      <c r="I213" s="2" t="e">
        <f ca="1">_xll.ESQuote("BUTTERFLY.EQ-NSE","Last")</f>
        <v>#NAME?</v>
      </c>
      <c r="J213" s="4" t="e">
        <f ca="1">_xll.ESQuote("BUTTERFLY.EQ-NSE","Last_Time")</f>
        <v>#NAME?</v>
      </c>
      <c r="K213" s="2" t="e">
        <f ca="1">_xll.ESQuote("BUTTERFLY.EQ-NSE","Low")</f>
        <v>#NAME?</v>
      </c>
      <c r="L213" s="2" t="e">
        <f ca="1">_xll.ESQuote("BUTTERFLY.EQ-NSE","Open")</f>
        <v>#NAME?</v>
      </c>
      <c r="M213" s="2" t="e">
        <f ca="1">_xll.ESQuote("BUTTERFLY.EQ-NSE","PrevPrice")</f>
        <v>#NAME?</v>
      </c>
      <c r="N213" s="2" t="e">
        <f ca="1">_xll.ESQuote("BUTTERFLY.EQ-NSE","Symbol")</f>
        <v>#NAME?</v>
      </c>
      <c r="O213" s="2" t="e">
        <f ca="1">_xll.ESQuote("BUTTERFLY.EQ-NSE","Volume")</f>
        <v>#NAME?</v>
      </c>
    </row>
    <row r="214" spans="1:15" x14ac:dyDescent="0.25">
      <c r="A214" s="1" t="s">
        <v>226</v>
      </c>
      <c r="B214" s="2" t="e">
        <f ca="1">_xll.ESQuote("BVCL.EQ-NSE","% Change")</f>
        <v>#NAME?</v>
      </c>
      <c r="C214" s="2" t="e">
        <f ca="1">_xll.ESQuote("BVCL.EQ-NSE","Change")</f>
        <v>#NAME?</v>
      </c>
      <c r="D214" s="2" t="e">
        <f ca="1">_xll.ESQuote("BVCL.EQ-NSE","Close")</f>
        <v>#NAME?</v>
      </c>
      <c r="E214" s="2" t="e">
        <f ca="1">_xll.ESQuote("BVCL.EQ-NSE","Company")</f>
        <v>#NAME?</v>
      </c>
      <c r="F214" s="2" t="e">
        <f ca="1">_xll.ESQuote("BVCL.EQ-NSE","Description")</f>
        <v>#NAME?</v>
      </c>
      <c r="G214" s="2" t="e">
        <f ca="1">_xll.ESQuote("BVCL.EQ-NSE","Exchange")</f>
        <v>#NAME?</v>
      </c>
      <c r="H214" s="2" t="e">
        <f ca="1">_xll.ESQuote("BVCL.EQ-NSE","High")</f>
        <v>#NAME?</v>
      </c>
      <c r="I214" s="2" t="e">
        <f ca="1">_xll.ESQuote("BVCL.EQ-NSE","Last")</f>
        <v>#NAME?</v>
      </c>
      <c r="J214" s="4" t="e">
        <f ca="1">_xll.ESQuote("BVCL.EQ-NSE","Last_Time")</f>
        <v>#NAME?</v>
      </c>
      <c r="K214" s="2" t="e">
        <f ca="1">_xll.ESQuote("BVCL.EQ-NSE","Low")</f>
        <v>#NAME?</v>
      </c>
      <c r="L214" s="2" t="e">
        <f ca="1">_xll.ESQuote("BVCL.EQ-NSE","Open")</f>
        <v>#NAME?</v>
      </c>
      <c r="M214" s="2" t="e">
        <f ca="1">_xll.ESQuote("BVCL.EQ-NSE","PrevPrice")</f>
        <v>#NAME?</v>
      </c>
      <c r="N214" s="2" t="e">
        <f ca="1">_xll.ESQuote("BVCL.EQ-NSE","Symbol")</f>
        <v>#NAME?</v>
      </c>
      <c r="O214" s="2" t="e">
        <f ca="1">_xll.ESQuote("BVCL.EQ-NSE","Volume")</f>
        <v>#NAME?</v>
      </c>
    </row>
    <row r="215" spans="1:15" x14ac:dyDescent="0.25">
      <c r="A215" s="1" t="s">
        <v>227</v>
      </c>
      <c r="B215" s="2" t="e">
        <f ca="1">_xll.ESQuote("BYKE.EQ-NSE","% Change")</f>
        <v>#NAME?</v>
      </c>
      <c r="C215" s="2" t="e">
        <f ca="1">_xll.ESQuote("BYKE.EQ-NSE","Change")</f>
        <v>#NAME?</v>
      </c>
      <c r="D215" s="2" t="e">
        <f ca="1">_xll.ESQuote("BYKE.EQ-NSE","Close")</f>
        <v>#NAME?</v>
      </c>
      <c r="E215" s="2" t="e">
        <f ca="1">_xll.ESQuote("BYKE.EQ-NSE","Company")</f>
        <v>#NAME?</v>
      </c>
      <c r="F215" s="2" t="e">
        <f ca="1">_xll.ESQuote("BYKE.EQ-NSE","Description")</f>
        <v>#NAME?</v>
      </c>
      <c r="G215" s="2" t="e">
        <f ca="1">_xll.ESQuote("BYKE.EQ-NSE","Exchange")</f>
        <v>#NAME?</v>
      </c>
      <c r="H215" s="2" t="e">
        <f ca="1">_xll.ESQuote("BYKE.EQ-NSE","High")</f>
        <v>#NAME?</v>
      </c>
      <c r="I215" s="2" t="e">
        <f ca="1">_xll.ESQuote("BYKE.EQ-NSE","Last")</f>
        <v>#NAME?</v>
      </c>
      <c r="J215" s="4" t="e">
        <f ca="1">_xll.ESQuote("BYKE.EQ-NSE","Last_Time")</f>
        <v>#NAME?</v>
      </c>
      <c r="K215" s="2" t="e">
        <f ca="1">_xll.ESQuote("BYKE.EQ-NSE","Low")</f>
        <v>#NAME?</v>
      </c>
      <c r="L215" s="2" t="e">
        <f ca="1">_xll.ESQuote("BYKE.EQ-NSE","Open")</f>
        <v>#NAME?</v>
      </c>
      <c r="M215" s="2" t="e">
        <f ca="1">_xll.ESQuote("BYKE.EQ-NSE","PrevPrice")</f>
        <v>#NAME?</v>
      </c>
      <c r="N215" s="2" t="e">
        <f ca="1">_xll.ESQuote("BYKE.EQ-NSE","Symbol")</f>
        <v>#NAME?</v>
      </c>
      <c r="O215" s="2" t="e">
        <f ca="1">_xll.ESQuote("BYKE.EQ-NSE","Volume")</f>
        <v>#NAME?</v>
      </c>
    </row>
    <row r="216" spans="1:15" x14ac:dyDescent="0.25">
      <c r="A216" s="1" t="s">
        <v>228</v>
      </c>
      <c r="B216" s="2" t="e">
        <f ca="1">_xll.ESQuote("CADILAHC.EQ-NSE","% Change")</f>
        <v>#NAME?</v>
      </c>
      <c r="C216" s="2" t="e">
        <f ca="1">_xll.ESQuote("CADILAHC.EQ-NSE","Change")</f>
        <v>#NAME?</v>
      </c>
      <c r="D216" s="2" t="e">
        <f ca="1">_xll.ESQuote("CADILAHC.EQ-NSE","Close")</f>
        <v>#NAME?</v>
      </c>
      <c r="E216" s="2" t="e">
        <f ca="1">_xll.ESQuote("CADILAHC.EQ-NSE","Company")</f>
        <v>#NAME?</v>
      </c>
      <c r="F216" s="2" t="e">
        <f ca="1">_xll.ESQuote("CADILAHC.EQ-NSE","Description")</f>
        <v>#NAME?</v>
      </c>
      <c r="G216" s="2" t="e">
        <f ca="1">_xll.ESQuote("CADILAHC.EQ-NSE","Exchange")</f>
        <v>#NAME?</v>
      </c>
      <c r="H216" s="2" t="e">
        <f ca="1">_xll.ESQuote("CADILAHC.EQ-NSE","High")</f>
        <v>#NAME?</v>
      </c>
      <c r="I216" s="2" t="e">
        <f ca="1">_xll.ESQuote("CADILAHC.EQ-NSE","Last")</f>
        <v>#NAME?</v>
      </c>
      <c r="J216" s="4" t="e">
        <f ca="1">_xll.ESQuote("CADILAHC.EQ-NSE","Last_Time")</f>
        <v>#NAME?</v>
      </c>
      <c r="K216" s="2" t="e">
        <f ca="1">_xll.ESQuote("CADILAHC.EQ-NSE","Low")</f>
        <v>#NAME?</v>
      </c>
      <c r="L216" s="2" t="e">
        <f ca="1">_xll.ESQuote("CADILAHC.EQ-NSE","Open")</f>
        <v>#NAME?</v>
      </c>
      <c r="M216" s="2" t="e">
        <f ca="1">_xll.ESQuote("CADILAHC.EQ-NSE","PrevPrice")</f>
        <v>#NAME?</v>
      </c>
      <c r="N216" s="2" t="e">
        <f ca="1">_xll.ESQuote("CADILAHC.EQ-NSE","Symbol")</f>
        <v>#NAME?</v>
      </c>
      <c r="O216" s="2" t="e">
        <f ca="1">_xll.ESQuote("CADILAHC.EQ-NSE","Volume")</f>
        <v>#NAME?</v>
      </c>
    </row>
    <row r="217" spans="1:15" x14ac:dyDescent="0.25">
      <c r="A217" s="1" t="s">
        <v>229</v>
      </c>
      <c r="B217" s="2" t="e">
        <f ca="1">_xll.ESQuote("CAIRN.EQ-NSE","% Change")</f>
        <v>#NAME?</v>
      </c>
      <c r="C217" s="2" t="e">
        <f ca="1">_xll.ESQuote("CAIRN.EQ-NSE","Change")</f>
        <v>#NAME?</v>
      </c>
      <c r="D217" s="2" t="e">
        <f ca="1">_xll.ESQuote("CAIRN.EQ-NSE","Close")</f>
        <v>#NAME?</v>
      </c>
      <c r="E217" s="2" t="e">
        <f ca="1">_xll.ESQuote("CAIRN.EQ-NSE","Company")</f>
        <v>#NAME?</v>
      </c>
      <c r="F217" s="2" t="e">
        <f ca="1">_xll.ESQuote("CAIRN.EQ-NSE","Description")</f>
        <v>#NAME?</v>
      </c>
      <c r="G217" s="2" t="e">
        <f ca="1">_xll.ESQuote("CAIRN.EQ-NSE","Exchange")</f>
        <v>#NAME?</v>
      </c>
      <c r="H217" s="2" t="e">
        <f ca="1">_xll.ESQuote("CAIRN.EQ-NSE","High")</f>
        <v>#NAME?</v>
      </c>
      <c r="I217" s="2" t="e">
        <f ca="1">_xll.ESQuote("CAIRN.EQ-NSE","Last")</f>
        <v>#NAME?</v>
      </c>
      <c r="J217" s="4" t="e">
        <f ca="1">_xll.ESQuote("CAIRN.EQ-NSE","Last_Time")</f>
        <v>#NAME?</v>
      </c>
      <c r="K217" s="2" t="e">
        <f ca="1">_xll.ESQuote("CAIRN.EQ-NSE","Low")</f>
        <v>#NAME?</v>
      </c>
      <c r="L217" s="2" t="e">
        <f ca="1">_xll.ESQuote("CAIRN.EQ-NSE","Open")</f>
        <v>#NAME?</v>
      </c>
      <c r="M217" s="2" t="e">
        <f ca="1">_xll.ESQuote("CAIRN.EQ-NSE","PrevPrice")</f>
        <v>#NAME?</v>
      </c>
      <c r="N217" s="2" t="e">
        <f ca="1">_xll.ESQuote("CAIRN.EQ-NSE","Symbol")</f>
        <v>#NAME?</v>
      </c>
      <c r="O217" s="2" t="e">
        <f ca="1">_xll.ESQuote("CAIRN.EQ-NSE","Volume")</f>
        <v>#NAME?</v>
      </c>
    </row>
    <row r="218" spans="1:15" x14ac:dyDescent="0.25">
      <c r="A218" s="1" t="s">
        <v>230</v>
      </c>
      <c r="B218" s="2" t="e">
        <f ca="1">_xll.ESQuote("CALSOFT.EQ-NSE","% Change")</f>
        <v>#NAME?</v>
      </c>
      <c r="C218" s="2" t="e">
        <f ca="1">_xll.ESQuote("CALSOFT.EQ-NSE","Change")</f>
        <v>#NAME?</v>
      </c>
      <c r="D218" s="2" t="e">
        <f ca="1">_xll.ESQuote("CALSOFT.EQ-NSE","Close")</f>
        <v>#NAME?</v>
      </c>
      <c r="E218" s="2" t="e">
        <f ca="1">_xll.ESQuote("CALSOFT.EQ-NSE","Company")</f>
        <v>#NAME?</v>
      </c>
      <c r="F218" s="2" t="e">
        <f ca="1">_xll.ESQuote("CALSOFT.EQ-NSE","Description")</f>
        <v>#NAME?</v>
      </c>
      <c r="G218" s="2" t="e">
        <f ca="1">_xll.ESQuote("CALSOFT.EQ-NSE","Exchange")</f>
        <v>#NAME?</v>
      </c>
      <c r="H218" s="2" t="e">
        <f ca="1">_xll.ESQuote("CALSOFT.EQ-NSE","High")</f>
        <v>#NAME?</v>
      </c>
      <c r="I218" s="2" t="e">
        <f ca="1">_xll.ESQuote("CALSOFT.EQ-NSE","Last")</f>
        <v>#NAME?</v>
      </c>
      <c r="J218" s="4" t="e">
        <f ca="1">_xll.ESQuote("CALSOFT.EQ-NSE","Last_Time")</f>
        <v>#NAME?</v>
      </c>
      <c r="K218" s="2" t="e">
        <f ca="1">_xll.ESQuote("CALSOFT.EQ-NSE","Low")</f>
        <v>#NAME?</v>
      </c>
      <c r="L218" s="2" t="e">
        <f ca="1">_xll.ESQuote("CALSOFT.EQ-NSE","Open")</f>
        <v>#NAME?</v>
      </c>
      <c r="M218" s="2" t="e">
        <f ca="1">_xll.ESQuote("CALSOFT.EQ-NSE","PrevPrice")</f>
        <v>#NAME?</v>
      </c>
      <c r="N218" s="2" t="e">
        <f ca="1">_xll.ESQuote("CALSOFT.EQ-NSE","Symbol")</f>
        <v>#NAME?</v>
      </c>
      <c r="O218" s="2" t="e">
        <f ca="1">_xll.ESQuote("CALSOFT.EQ-NSE","Volume")</f>
        <v>#NAME?</v>
      </c>
    </row>
    <row r="219" spans="1:15" x14ac:dyDescent="0.25">
      <c r="A219" s="1" t="s">
        <v>231</v>
      </c>
      <c r="B219" s="2" t="e">
        <f ca="1">_xll.ESQuote("CAMLINFINE.EQ-NSE","% Change")</f>
        <v>#NAME?</v>
      </c>
      <c r="C219" s="2" t="e">
        <f ca="1">_xll.ESQuote("CAMLINFINE.EQ-NSE","Change")</f>
        <v>#NAME?</v>
      </c>
      <c r="D219" s="2" t="e">
        <f ca="1">_xll.ESQuote("CAMLINFINE.EQ-NSE","Close")</f>
        <v>#NAME?</v>
      </c>
      <c r="E219" s="2" t="e">
        <f ca="1">_xll.ESQuote("CAMLINFINE.EQ-NSE","Company")</f>
        <v>#NAME?</v>
      </c>
      <c r="F219" s="2" t="e">
        <f ca="1">_xll.ESQuote("CAMLINFINE.EQ-NSE","Description")</f>
        <v>#NAME?</v>
      </c>
      <c r="G219" s="2" t="e">
        <f ca="1">_xll.ESQuote("CAMLINFINE.EQ-NSE","Exchange")</f>
        <v>#NAME?</v>
      </c>
      <c r="H219" s="2" t="e">
        <f ca="1">_xll.ESQuote("CAMLINFINE.EQ-NSE","High")</f>
        <v>#NAME?</v>
      </c>
      <c r="I219" s="2" t="e">
        <f ca="1">_xll.ESQuote("CAMLINFINE.EQ-NSE","Last")</f>
        <v>#NAME?</v>
      </c>
      <c r="J219" s="4" t="e">
        <f ca="1">_xll.ESQuote("CAMLINFINE.EQ-NSE","Last_Time")</f>
        <v>#NAME?</v>
      </c>
      <c r="K219" s="2" t="e">
        <f ca="1">_xll.ESQuote("CAMLINFINE.EQ-NSE","Low")</f>
        <v>#NAME?</v>
      </c>
      <c r="L219" s="2" t="e">
        <f ca="1">_xll.ESQuote("CAMLINFINE.EQ-NSE","Open")</f>
        <v>#NAME?</v>
      </c>
      <c r="M219" s="2" t="e">
        <f ca="1">_xll.ESQuote("CAMLINFINE.EQ-NSE","PrevPrice")</f>
        <v>#NAME?</v>
      </c>
      <c r="N219" s="2" t="e">
        <f ca="1">_xll.ESQuote("CAMLINFINE.EQ-NSE","Symbol")</f>
        <v>#NAME?</v>
      </c>
      <c r="O219" s="2" t="e">
        <f ca="1">_xll.ESQuote("CAMLINFINE.EQ-NSE","Volume")</f>
        <v>#NAME?</v>
      </c>
    </row>
    <row r="220" spans="1:15" x14ac:dyDescent="0.25">
      <c r="A220" s="1" t="s">
        <v>232</v>
      </c>
      <c r="B220" s="2" t="e">
        <f ca="1">_xll.ESQuote("CANBK.EQ-NSE","% Change")</f>
        <v>#NAME?</v>
      </c>
      <c r="C220" s="2" t="e">
        <f ca="1">_xll.ESQuote("CANBK.EQ-NSE","Change")</f>
        <v>#NAME?</v>
      </c>
      <c r="D220" s="2" t="e">
        <f ca="1">_xll.ESQuote("CANBK.EQ-NSE","Close")</f>
        <v>#NAME?</v>
      </c>
      <c r="E220" s="2" t="e">
        <f ca="1">_xll.ESQuote("CANBK.EQ-NSE","Company")</f>
        <v>#NAME?</v>
      </c>
      <c r="F220" s="2" t="e">
        <f ca="1">_xll.ESQuote("CANBK.EQ-NSE","Description")</f>
        <v>#NAME?</v>
      </c>
      <c r="G220" s="2" t="e">
        <f ca="1">_xll.ESQuote("CANBK.EQ-NSE","Exchange")</f>
        <v>#NAME?</v>
      </c>
      <c r="H220" s="2" t="e">
        <f ca="1">_xll.ESQuote("CANBK.EQ-NSE","High")</f>
        <v>#NAME?</v>
      </c>
      <c r="I220" s="2" t="e">
        <f ca="1">_xll.ESQuote("CANBK.EQ-NSE","Last")</f>
        <v>#NAME?</v>
      </c>
      <c r="J220" s="4" t="e">
        <f ca="1">_xll.ESQuote("CANBK.EQ-NSE","Last_Time")</f>
        <v>#NAME?</v>
      </c>
      <c r="K220" s="2" t="e">
        <f ca="1">_xll.ESQuote("CANBK.EQ-NSE","Low")</f>
        <v>#NAME?</v>
      </c>
      <c r="L220" s="2" t="e">
        <f ca="1">_xll.ESQuote("CANBK.EQ-NSE","Open")</f>
        <v>#NAME?</v>
      </c>
      <c r="M220" s="2" t="e">
        <f ca="1">_xll.ESQuote("CANBK.EQ-NSE","PrevPrice")</f>
        <v>#NAME?</v>
      </c>
      <c r="N220" s="2" t="e">
        <f ca="1">_xll.ESQuote("CANBK.EQ-NSE","Symbol")</f>
        <v>#NAME?</v>
      </c>
      <c r="O220" s="2" t="e">
        <f ca="1">_xll.ESQuote("CANBK.EQ-NSE","Volume")</f>
        <v>#NAME?</v>
      </c>
    </row>
    <row r="221" spans="1:15" x14ac:dyDescent="0.25">
      <c r="A221" s="1" t="s">
        <v>233</v>
      </c>
      <c r="B221" s="2" t="e">
        <f ca="1">_xll.ESQuote("CANDC.EQ-NSE","% Change")</f>
        <v>#NAME?</v>
      </c>
      <c r="C221" s="2" t="e">
        <f ca="1">_xll.ESQuote("CANDC.EQ-NSE","Change")</f>
        <v>#NAME?</v>
      </c>
      <c r="D221" s="2" t="e">
        <f ca="1">_xll.ESQuote("CANDC.EQ-NSE","Close")</f>
        <v>#NAME?</v>
      </c>
      <c r="E221" s="2" t="e">
        <f ca="1">_xll.ESQuote("CANDC.EQ-NSE","Company")</f>
        <v>#NAME?</v>
      </c>
      <c r="F221" s="2" t="e">
        <f ca="1">_xll.ESQuote("CANDC.EQ-NSE","Description")</f>
        <v>#NAME?</v>
      </c>
      <c r="G221" s="2" t="e">
        <f ca="1">_xll.ESQuote("CANDC.EQ-NSE","Exchange")</f>
        <v>#NAME?</v>
      </c>
      <c r="H221" s="2" t="e">
        <f ca="1">_xll.ESQuote("CANDC.EQ-NSE","High")</f>
        <v>#NAME?</v>
      </c>
      <c r="I221" s="2" t="e">
        <f ca="1">_xll.ESQuote("CANDC.EQ-NSE","Last")</f>
        <v>#NAME?</v>
      </c>
      <c r="J221" s="4" t="e">
        <f ca="1">_xll.ESQuote("CANDC.EQ-NSE","Last_Time")</f>
        <v>#NAME?</v>
      </c>
      <c r="K221" s="2" t="e">
        <f ca="1">_xll.ESQuote("CANDC.EQ-NSE","Low")</f>
        <v>#NAME?</v>
      </c>
      <c r="L221" s="2" t="e">
        <f ca="1">_xll.ESQuote("CANDC.EQ-NSE","Open")</f>
        <v>#NAME?</v>
      </c>
      <c r="M221" s="2" t="e">
        <f ca="1">_xll.ESQuote("CANDC.EQ-NSE","PrevPrice")</f>
        <v>#NAME?</v>
      </c>
      <c r="N221" s="2" t="e">
        <f ca="1">_xll.ESQuote("CANDC.EQ-NSE","Symbol")</f>
        <v>#NAME?</v>
      </c>
      <c r="O221" s="2" t="e">
        <f ca="1">_xll.ESQuote("CANDC.EQ-NSE","Volume")</f>
        <v>#NAME?</v>
      </c>
    </row>
    <row r="222" spans="1:15" x14ac:dyDescent="0.25">
      <c r="A222" s="1" t="s">
        <v>234</v>
      </c>
      <c r="B222" s="2" t="e">
        <f ca="1">_xll.ESQuote("CANFINHOME.EQ-NSE","% Change")</f>
        <v>#NAME?</v>
      </c>
      <c r="C222" s="2" t="e">
        <f ca="1">_xll.ESQuote("CANFINHOME.EQ-NSE","Change")</f>
        <v>#NAME?</v>
      </c>
      <c r="D222" s="2" t="e">
        <f ca="1">_xll.ESQuote("CANFINHOME.EQ-NSE","Close")</f>
        <v>#NAME?</v>
      </c>
      <c r="E222" s="2" t="e">
        <f ca="1">_xll.ESQuote("CANFINHOME.EQ-NSE","Company")</f>
        <v>#NAME?</v>
      </c>
      <c r="F222" s="2" t="e">
        <f ca="1">_xll.ESQuote("CANFINHOME.EQ-NSE","Description")</f>
        <v>#NAME?</v>
      </c>
      <c r="G222" s="2" t="e">
        <f ca="1">_xll.ESQuote("CANFINHOME.EQ-NSE","Exchange")</f>
        <v>#NAME?</v>
      </c>
      <c r="H222" s="2" t="e">
        <f ca="1">_xll.ESQuote("CANFINHOME.EQ-NSE","High")</f>
        <v>#NAME?</v>
      </c>
      <c r="I222" s="2" t="e">
        <f ca="1">_xll.ESQuote("CANFINHOME.EQ-NSE","Last")</f>
        <v>#NAME?</v>
      </c>
      <c r="J222" s="4" t="e">
        <f ca="1">_xll.ESQuote("CANFINHOME.EQ-NSE","Last_Time")</f>
        <v>#NAME?</v>
      </c>
      <c r="K222" s="2" t="e">
        <f ca="1">_xll.ESQuote("CANFINHOME.EQ-NSE","Low")</f>
        <v>#NAME?</v>
      </c>
      <c r="L222" s="2" t="e">
        <f ca="1">_xll.ESQuote("CANFINHOME.EQ-NSE","Open")</f>
        <v>#NAME?</v>
      </c>
      <c r="M222" s="2" t="e">
        <f ca="1">_xll.ESQuote("CANFINHOME.EQ-NSE","PrevPrice")</f>
        <v>#NAME?</v>
      </c>
      <c r="N222" s="2" t="e">
        <f ca="1">_xll.ESQuote("CANFINHOME.EQ-NSE","Symbol")</f>
        <v>#NAME?</v>
      </c>
      <c r="O222" s="2" t="e">
        <f ca="1">_xll.ESQuote("CANFINHOME.EQ-NSE","Volume")</f>
        <v>#NAME?</v>
      </c>
    </row>
    <row r="223" spans="1:15" x14ac:dyDescent="0.25">
      <c r="A223" s="1" t="s">
        <v>235</v>
      </c>
      <c r="B223" s="2" t="e">
        <f ca="1">_xll.ESQuote("CANTABIL.EQ-NSE","% Change")</f>
        <v>#NAME?</v>
      </c>
      <c r="C223" s="2" t="e">
        <f ca="1">_xll.ESQuote("CANTABIL.EQ-NSE","Change")</f>
        <v>#NAME?</v>
      </c>
      <c r="D223" s="2" t="e">
        <f ca="1">_xll.ESQuote("CANTABIL.EQ-NSE","Close")</f>
        <v>#NAME?</v>
      </c>
      <c r="E223" s="2" t="e">
        <f ca="1">_xll.ESQuote("CANTABIL.EQ-NSE","Company")</f>
        <v>#NAME?</v>
      </c>
      <c r="F223" s="2" t="e">
        <f ca="1">_xll.ESQuote("CANTABIL.EQ-NSE","Description")</f>
        <v>#NAME?</v>
      </c>
      <c r="G223" s="2" t="e">
        <f ca="1">_xll.ESQuote("CANTABIL.EQ-NSE","Exchange")</f>
        <v>#NAME?</v>
      </c>
      <c r="H223" s="2" t="e">
        <f ca="1">_xll.ESQuote("CANTABIL.EQ-NSE","High")</f>
        <v>#NAME?</v>
      </c>
      <c r="I223" s="2" t="e">
        <f ca="1">_xll.ESQuote("CANTABIL.EQ-NSE","Last")</f>
        <v>#NAME?</v>
      </c>
      <c r="J223" s="4" t="e">
        <f ca="1">_xll.ESQuote("CANTABIL.EQ-NSE","Last_Time")</f>
        <v>#NAME?</v>
      </c>
      <c r="K223" s="2" t="e">
        <f ca="1">_xll.ESQuote("CANTABIL.EQ-NSE","Low")</f>
        <v>#NAME?</v>
      </c>
      <c r="L223" s="2" t="e">
        <f ca="1">_xll.ESQuote("CANTABIL.EQ-NSE","Open")</f>
        <v>#NAME?</v>
      </c>
      <c r="M223" s="2" t="e">
        <f ca="1">_xll.ESQuote("CANTABIL.EQ-NSE","PrevPrice")</f>
        <v>#NAME?</v>
      </c>
      <c r="N223" s="2" t="e">
        <f ca="1">_xll.ESQuote("CANTABIL.EQ-NSE","Symbol")</f>
        <v>#NAME?</v>
      </c>
      <c r="O223" s="2" t="e">
        <f ca="1">_xll.ESQuote("CANTABIL.EQ-NSE","Volume")</f>
        <v>#NAME?</v>
      </c>
    </row>
    <row r="224" spans="1:15" x14ac:dyDescent="0.25">
      <c r="A224" s="1" t="s">
        <v>236</v>
      </c>
      <c r="B224" s="2" t="e">
        <f ca="1">_xll.ESQuote("CAPF.EQ-NSE","% Change")</f>
        <v>#NAME?</v>
      </c>
      <c r="C224" s="2" t="e">
        <f ca="1">_xll.ESQuote("CAPF.EQ-NSE","Change")</f>
        <v>#NAME?</v>
      </c>
      <c r="D224" s="2" t="e">
        <f ca="1">_xll.ESQuote("CAPF.EQ-NSE","Close")</f>
        <v>#NAME?</v>
      </c>
      <c r="E224" s="2" t="e">
        <f ca="1">_xll.ESQuote("CAPF.EQ-NSE","Company")</f>
        <v>#NAME?</v>
      </c>
      <c r="F224" s="2" t="e">
        <f ca="1">_xll.ESQuote("CAPF.EQ-NSE","Description")</f>
        <v>#NAME?</v>
      </c>
      <c r="G224" s="2" t="e">
        <f ca="1">_xll.ESQuote("CAPF.EQ-NSE","Exchange")</f>
        <v>#NAME?</v>
      </c>
      <c r="H224" s="2" t="e">
        <f ca="1">_xll.ESQuote("CAPF.EQ-NSE","High")</f>
        <v>#NAME?</v>
      </c>
      <c r="I224" s="2" t="e">
        <f ca="1">_xll.ESQuote("CAPF.EQ-NSE","Last")</f>
        <v>#NAME?</v>
      </c>
      <c r="J224" s="4" t="e">
        <f ca="1">_xll.ESQuote("CAPF.EQ-NSE","Last_Time")</f>
        <v>#NAME?</v>
      </c>
      <c r="K224" s="2" t="e">
        <f ca="1">_xll.ESQuote("CAPF.EQ-NSE","Low")</f>
        <v>#NAME?</v>
      </c>
      <c r="L224" s="2" t="e">
        <f ca="1">_xll.ESQuote("CAPF.EQ-NSE","Open")</f>
        <v>#NAME?</v>
      </c>
      <c r="M224" s="2" t="e">
        <f ca="1">_xll.ESQuote("CAPF.EQ-NSE","PrevPrice")</f>
        <v>#NAME?</v>
      </c>
      <c r="N224" s="2" t="e">
        <f ca="1">_xll.ESQuote("CAPF.EQ-NSE","Symbol")</f>
        <v>#NAME?</v>
      </c>
      <c r="O224" s="2" t="e">
        <f ca="1">_xll.ESQuote("CAPF.EQ-NSE","Volume")</f>
        <v>#NAME?</v>
      </c>
    </row>
    <row r="225" spans="1:15" x14ac:dyDescent="0.25">
      <c r="A225" s="1" t="s">
        <v>237</v>
      </c>
      <c r="B225" s="2" t="e">
        <f ca="1">_xll.ESQuote("CAPLIPOINT.EQ-NSE","% Change")</f>
        <v>#NAME?</v>
      </c>
      <c r="C225" s="2" t="e">
        <f ca="1">_xll.ESQuote("CAPLIPOINT.EQ-NSE","Change")</f>
        <v>#NAME?</v>
      </c>
      <c r="D225" s="2" t="e">
        <f ca="1">_xll.ESQuote("CAPLIPOINT.EQ-NSE","Close")</f>
        <v>#NAME?</v>
      </c>
      <c r="E225" s="2" t="e">
        <f ca="1">_xll.ESQuote("CAPLIPOINT.EQ-NSE","Company")</f>
        <v>#NAME?</v>
      </c>
      <c r="F225" s="2" t="e">
        <f ca="1">_xll.ESQuote("CAPLIPOINT.EQ-NSE","Description")</f>
        <v>#NAME?</v>
      </c>
      <c r="G225" s="2" t="e">
        <f ca="1">_xll.ESQuote("CAPLIPOINT.EQ-NSE","Exchange")</f>
        <v>#NAME?</v>
      </c>
      <c r="H225" s="2" t="e">
        <f ca="1">_xll.ESQuote("CAPLIPOINT.EQ-NSE","High")</f>
        <v>#NAME?</v>
      </c>
      <c r="I225" s="2" t="e">
        <f ca="1">_xll.ESQuote("CAPLIPOINT.EQ-NSE","Last")</f>
        <v>#NAME?</v>
      </c>
      <c r="J225" s="4" t="e">
        <f ca="1">_xll.ESQuote("CAPLIPOINT.EQ-NSE","Last_Time")</f>
        <v>#NAME?</v>
      </c>
      <c r="K225" s="2" t="e">
        <f ca="1">_xll.ESQuote("CAPLIPOINT.EQ-NSE","Low")</f>
        <v>#NAME?</v>
      </c>
      <c r="L225" s="2" t="e">
        <f ca="1">_xll.ESQuote("CAPLIPOINT.EQ-NSE","Open")</f>
        <v>#NAME?</v>
      </c>
      <c r="M225" s="2" t="e">
        <f ca="1">_xll.ESQuote("CAPLIPOINT.EQ-NSE","PrevPrice")</f>
        <v>#NAME?</v>
      </c>
      <c r="N225" s="2" t="e">
        <f ca="1">_xll.ESQuote("CAPLIPOINT.EQ-NSE","Symbol")</f>
        <v>#NAME?</v>
      </c>
      <c r="O225" s="2" t="e">
        <f ca="1">_xll.ESQuote("CAPLIPOINT.EQ-NSE","Volume")</f>
        <v>#NAME?</v>
      </c>
    </row>
    <row r="226" spans="1:15" x14ac:dyDescent="0.25">
      <c r="A226" s="1" t="s">
        <v>238</v>
      </c>
      <c r="B226" s="2" t="e">
        <f ca="1">_xll.ESQuote("CARBORUNIV.EQ-NSE","% Change")</f>
        <v>#NAME?</v>
      </c>
      <c r="C226" s="2" t="e">
        <f ca="1">_xll.ESQuote("CARBORUNIV.EQ-NSE","Change")</f>
        <v>#NAME?</v>
      </c>
      <c r="D226" s="2" t="e">
        <f ca="1">_xll.ESQuote("CARBORUNIV.EQ-NSE","Close")</f>
        <v>#NAME?</v>
      </c>
      <c r="E226" s="2" t="e">
        <f ca="1">_xll.ESQuote("CARBORUNIV.EQ-NSE","Company")</f>
        <v>#NAME?</v>
      </c>
      <c r="F226" s="2" t="e">
        <f ca="1">_xll.ESQuote("CARBORUNIV.EQ-NSE","Description")</f>
        <v>#NAME?</v>
      </c>
      <c r="G226" s="2" t="e">
        <f ca="1">_xll.ESQuote("CARBORUNIV.EQ-NSE","Exchange")</f>
        <v>#NAME?</v>
      </c>
      <c r="H226" s="2" t="e">
        <f ca="1">_xll.ESQuote("CARBORUNIV.EQ-NSE","High")</f>
        <v>#NAME?</v>
      </c>
      <c r="I226" s="2" t="e">
        <f ca="1">_xll.ESQuote("CARBORUNIV.EQ-NSE","Last")</f>
        <v>#NAME?</v>
      </c>
      <c r="J226" s="4" t="e">
        <f ca="1">_xll.ESQuote("CARBORUNIV.EQ-NSE","Last_Time")</f>
        <v>#NAME?</v>
      </c>
      <c r="K226" s="2" t="e">
        <f ca="1">_xll.ESQuote("CARBORUNIV.EQ-NSE","Low")</f>
        <v>#NAME?</v>
      </c>
      <c r="L226" s="2" t="e">
        <f ca="1">_xll.ESQuote("CARBORUNIV.EQ-NSE","Open")</f>
        <v>#NAME?</v>
      </c>
      <c r="M226" s="2" t="e">
        <f ca="1">_xll.ESQuote("CARBORUNIV.EQ-NSE","PrevPrice")</f>
        <v>#NAME?</v>
      </c>
      <c r="N226" s="2" t="e">
        <f ca="1">_xll.ESQuote("CARBORUNIV.EQ-NSE","Symbol")</f>
        <v>#NAME?</v>
      </c>
      <c r="O226" s="2" t="e">
        <f ca="1">_xll.ESQuote("CARBORUNIV.EQ-NSE","Volume")</f>
        <v>#NAME?</v>
      </c>
    </row>
    <row r="227" spans="1:15" x14ac:dyDescent="0.25">
      <c r="A227" s="1" t="s">
        <v>239</v>
      </c>
      <c r="B227" s="2" t="e">
        <f ca="1">_xll.ESQuote("CAREERP.EQ-NSE","% Change")</f>
        <v>#NAME?</v>
      </c>
      <c r="C227" s="2" t="e">
        <f ca="1">_xll.ESQuote("CAREERP.EQ-NSE","Change")</f>
        <v>#NAME?</v>
      </c>
      <c r="D227" s="2" t="e">
        <f ca="1">_xll.ESQuote("CAREERP.EQ-NSE","Close")</f>
        <v>#NAME?</v>
      </c>
      <c r="E227" s="2" t="e">
        <f ca="1">_xll.ESQuote("CAREERP.EQ-NSE","Company")</f>
        <v>#NAME?</v>
      </c>
      <c r="F227" s="2" t="e">
        <f ca="1">_xll.ESQuote("CAREERP.EQ-NSE","Description")</f>
        <v>#NAME?</v>
      </c>
      <c r="G227" s="2" t="e">
        <f ca="1">_xll.ESQuote("CAREERP.EQ-NSE","Exchange")</f>
        <v>#NAME?</v>
      </c>
      <c r="H227" s="2" t="e">
        <f ca="1">_xll.ESQuote("CAREERP.EQ-NSE","High")</f>
        <v>#NAME?</v>
      </c>
      <c r="I227" s="2" t="e">
        <f ca="1">_xll.ESQuote("CAREERP.EQ-NSE","Last")</f>
        <v>#NAME?</v>
      </c>
      <c r="J227" s="4" t="e">
        <f ca="1">_xll.ESQuote("CAREERP.EQ-NSE","Last_Time")</f>
        <v>#NAME?</v>
      </c>
      <c r="K227" s="2" t="e">
        <f ca="1">_xll.ESQuote("CAREERP.EQ-NSE","Low")</f>
        <v>#NAME?</v>
      </c>
      <c r="L227" s="2" t="e">
        <f ca="1">_xll.ESQuote("CAREERP.EQ-NSE","Open")</f>
        <v>#NAME?</v>
      </c>
      <c r="M227" s="2" t="e">
        <f ca="1">_xll.ESQuote("CAREERP.EQ-NSE","PrevPrice")</f>
        <v>#NAME?</v>
      </c>
      <c r="N227" s="2" t="e">
        <f ca="1">_xll.ESQuote("CAREERP.EQ-NSE","Symbol")</f>
        <v>#NAME?</v>
      </c>
      <c r="O227" s="2" t="e">
        <f ca="1">_xll.ESQuote("CAREERP.EQ-NSE","Volume")</f>
        <v>#NAME?</v>
      </c>
    </row>
    <row r="228" spans="1:15" x14ac:dyDescent="0.25">
      <c r="A228" s="1" t="s">
        <v>240</v>
      </c>
      <c r="B228" s="2" t="e">
        <f ca="1">_xll.ESQuote("CARERATING.EQ-NSE","% Change")</f>
        <v>#NAME?</v>
      </c>
      <c r="C228" s="2" t="e">
        <f ca="1">_xll.ESQuote("CARERATING.EQ-NSE","Change")</f>
        <v>#NAME?</v>
      </c>
      <c r="D228" s="2" t="e">
        <f ca="1">_xll.ESQuote("CARERATING.EQ-NSE","Close")</f>
        <v>#NAME?</v>
      </c>
      <c r="E228" s="2" t="e">
        <f ca="1">_xll.ESQuote("CARERATING.EQ-NSE","Company")</f>
        <v>#NAME?</v>
      </c>
      <c r="F228" s="2" t="e">
        <f ca="1">_xll.ESQuote("CARERATING.EQ-NSE","Description")</f>
        <v>#NAME?</v>
      </c>
      <c r="G228" s="2" t="e">
        <f ca="1">_xll.ESQuote("CARERATING.EQ-NSE","Exchange")</f>
        <v>#NAME?</v>
      </c>
      <c r="H228" s="2" t="e">
        <f ca="1">_xll.ESQuote("CARERATING.EQ-NSE","High")</f>
        <v>#NAME?</v>
      </c>
      <c r="I228" s="2" t="e">
        <f ca="1">_xll.ESQuote("CARERATING.EQ-NSE","Last")</f>
        <v>#NAME?</v>
      </c>
      <c r="J228" s="4" t="e">
        <f ca="1">_xll.ESQuote("CARERATING.EQ-NSE","Last_Time")</f>
        <v>#NAME?</v>
      </c>
      <c r="K228" s="2" t="e">
        <f ca="1">_xll.ESQuote("CARERATING.EQ-NSE","Low")</f>
        <v>#NAME?</v>
      </c>
      <c r="L228" s="2" t="e">
        <f ca="1">_xll.ESQuote("CARERATING.EQ-NSE","Open")</f>
        <v>#NAME?</v>
      </c>
      <c r="M228" s="2" t="e">
        <f ca="1">_xll.ESQuote("CARERATING.EQ-NSE","PrevPrice")</f>
        <v>#NAME?</v>
      </c>
      <c r="N228" s="2" t="e">
        <f ca="1">_xll.ESQuote("CARERATING.EQ-NSE","Symbol")</f>
        <v>#NAME?</v>
      </c>
      <c r="O228" s="2" t="e">
        <f ca="1">_xll.ESQuote("CARERATING.EQ-NSE","Volume")</f>
        <v>#NAME?</v>
      </c>
    </row>
    <row r="229" spans="1:15" x14ac:dyDescent="0.25">
      <c r="A229" s="1" t="s">
        <v>241</v>
      </c>
      <c r="B229" s="2" t="e">
        <f ca="1">_xll.ESQuote("CASTEXTECH.EQ-NSE","% Change")</f>
        <v>#NAME?</v>
      </c>
      <c r="C229" s="2" t="e">
        <f ca="1">_xll.ESQuote("CASTEXTECH.EQ-NSE","Change")</f>
        <v>#NAME?</v>
      </c>
      <c r="D229" s="2" t="e">
        <f ca="1">_xll.ESQuote("CASTEXTECH.EQ-NSE","Close")</f>
        <v>#NAME?</v>
      </c>
      <c r="E229" s="2" t="e">
        <f ca="1">_xll.ESQuote("CASTEXTECH.EQ-NSE","Company")</f>
        <v>#NAME?</v>
      </c>
      <c r="F229" s="2" t="e">
        <f ca="1">_xll.ESQuote("CASTEXTECH.EQ-NSE","Description")</f>
        <v>#NAME?</v>
      </c>
      <c r="G229" s="2" t="e">
        <f ca="1">_xll.ESQuote("CASTEXTECH.EQ-NSE","Exchange")</f>
        <v>#NAME?</v>
      </c>
      <c r="H229" s="2" t="e">
        <f ca="1">_xll.ESQuote("CASTEXTECH.EQ-NSE","High")</f>
        <v>#NAME?</v>
      </c>
      <c r="I229" s="2" t="e">
        <f ca="1">_xll.ESQuote("CASTEXTECH.EQ-NSE","Last")</f>
        <v>#NAME?</v>
      </c>
      <c r="J229" s="4" t="e">
        <f ca="1">_xll.ESQuote("CASTEXTECH.EQ-NSE","Last_Time")</f>
        <v>#NAME?</v>
      </c>
      <c r="K229" s="2" t="e">
        <f ca="1">_xll.ESQuote("CASTEXTECH.EQ-NSE","Low")</f>
        <v>#NAME?</v>
      </c>
      <c r="L229" s="2" t="e">
        <f ca="1">_xll.ESQuote("CASTEXTECH.EQ-NSE","Open")</f>
        <v>#NAME?</v>
      </c>
      <c r="M229" s="2" t="e">
        <f ca="1">_xll.ESQuote("CASTEXTECH.EQ-NSE","PrevPrice")</f>
        <v>#NAME?</v>
      </c>
      <c r="N229" s="2" t="e">
        <f ca="1">_xll.ESQuote("CASTEXTECH.EQ-NSE","Symbol")</f>
        <v>#NAME?</v>
      </c>
      <c r="O229" s="2" t="e">
        <f ca="1">_xll.ESQuote("CASTEXTECH.EQ-NSE","Volume")</f>
        <v>#NAME?</v>
      </c>
    </row>
    <row r="230" spans="1:15" x14ac:dyDescent="0.25">
      <c r="A230" s="1" t="s">
        <v>242</v>
      </c>
      <c r="B230" s="2" t="e">
        <f ca="1">_xll.ESQuote("CASTROLIND.EQ-NSE","% Change")</f>
        <v>#NAME?</v>
      </c>
      <c r="C230" s="2" t="e">
        <f ca="1">_xll.ESQuote("CASTROLIND.EQ-NSE","Change")</f>
        <v>#NAME?</v>
      </c>
      <c r="D230" s="2" t="e">
        <f ca="1">_xll.ESQuote("CASTROLIND.EQ-NSE","Close")</f>
        <v>#NAME?</v>
      </c>
      <c r="E230" s="2" t="e">
        <f ca="1">_xll.ESQuote("CASTROLIND.EQ-NSE","Company")</f>
        <v>#NAME?</v>
      </c>
      <c r="F230" s="2" t="e">
        <f ca="1">_xll.ESQuote("CASTROLIND.EQ-NSE","Description")</f>
        <v>#NAME?</v>
      </c>
      <c r="G230" s="2" t="e">
        <f ca="1">_xll.ESQuote("CASTROLIND.EQ-NSE","Exchange")</f>
        <v>#NAME?</v>
      </c>
      <c r="H230" s="2" t="e">
        <f ca="1">_xll.ESQuote("CASTROLIND.EQ-NSE","High")</f>
        <v>#NAME?</v>
      </c>
      <c r="I230" s="2" t="e">
        <f ca="1">_xll.ESQuote("CASTROLIND.EQ-NSE","Last")</f>
        <v>#NAME?</v>
      </c>
      <c r="J230" s="4" t="e">
        <f ca="1">_xll.ESQuote("CASTROLIND.EQ-NSE","Last_Time")</f>
        <v>#NAME?</v>
      </c>
      <c r="K230" s="2" t="e">
        <f ca="1">_xll.ESQuote("CASTROLIND.EQ-NSE","Low")</f>
        <v>#NAME?</v>
      </c>
      <c r="L230" s="2" t="e">
        <f ca="1">_xll.ESQuote("CASTROLIND.EQ-NSE","Open")</f>
        <v>#NAME?</v>
      </c>
      <c r="M230" s="2" t="e">
        <f ca="1">_xll.ESQuote("CASTROLIND.EQ-NSE","PrevPrice")</f>
        <v>#NAME?</v>
      </c>
      <c r="N230" s="2" t="e">
        <f ca="1">_xll.ESQuote("CASTROLIND.EQ-NSE","Symbol")</f>
        <v>#NAME?</v>
      </c>
      <c r="O230" s="2" t="e">
        <f ca="1">_xll.ESQuote("CASTROLIND.EQ-NSE","Volume")</f>
        <v>#NAME?</v>
      </c>
    </row>
    <row r="231" spans="1:15" x14ac:dyDescent="0.25">
      <c r="A231" s="1" t="s">
        <v>243</v>
      </c>
      <c r="B231" s="2" t="e">
        <f ca="1">_xll.ESQuote("CCCL.EQ-NSE","% Change")</f>
        <v>#NAME?</v>
      </c>
      <c r="C231" s="2" t="e">
        <f ca="1">_xll.ESQuote("CCCL.EQ-NSE","Change")</f>
        <v>#NAME?</v>
      </c>
      <c r="D231" s="2" t="e">
        <f ca="1">_xll.ESQuote("CCCL.EQ-NSE","Close")</f>
        <v>#NAME?</v>
      </c>
      <c r="E231" s="2" t="e">
        <f ca="1">_xll.ESQuote("CCCL.EQ-NSE","Company")</f>
        <v>#NAME?</v>
      </c>
      <c r="F231" s="2" t="e">
        <f ca="1">_xll.ESQuote("CCCL.EQ-NSE","Description")</f>
        <v>#NAME?</v>
      </c>
      <c r="G231" s="2" t="e">
        <f ca="1">_xll.ESQuote("CCCL.EQ-NSE","Exchange")</f>
        <v>#NAME?</v>
      </c>
      <c r="H231" s="2" t="e">
        <f ca="1">_xll.ESQuote("CCCL.EQ-NSE","High")</f>
        <v>#NAME?</v>
      </c>
      <c r="I231" s="2" t="e">
        <f ca="1">_xll.ESQuote("CCCL.EQ-NSE","Last")</f>
        <v>#NAME?</v>
      </c>
      <c r="J231" s="4" t="e">
        <f ca="1">_xll.ESQuote("CCCL.EQ-NSE","Last_Time")</f>
        <v>#NAME?</v>
      </c>
      <c r="K231" s="2" t="e">
        <f ca="1">_xll.ESQuote("CCCL.EQ-NSE","Low")</f>
        <v>#NAME?</v>
      </c>
      <c r="L231" s="2" t="e">
        <f ca="1">_xll.ESQuote("CCCL.EQ-NSE","Open")</f>
        <v>#NAME?</v>
      </c>
      <c r="M231" s="2" t="e">
        <f ca="1">_xll.ESQuote("CCCL.EQ-NSE","PrevPrice")</f>
        <v>#NAME?</v>
      </c>
      <c r="N231" s="2" t="e">
        <f ca="1">_xll.ESQuote("CCCL.EQ-NSE","Symbol")</f>
        <v>#NAME?</v>
      </c>
      <c r="O231" s="2" t="e">
        <f ca="1">_xll.ESQuote("CCCL.EQ-NSE","Volume")</f>
        <v>#NAME?</v>
      </c>
    </row>
    <row r="232" spans="1:15" x14ac:dyDescent="0.25">
      <c r="A232" s="1" t="s">
        <v>244</v>
      </c>
      <c r="B232" s="2" t="e">
        <f ca="1">_xll.ESQuote("CCHHL.EQ-NSE","% Change")</f>
        <v>#NAME?</v>
      </c>
      <c r="C232" s="2" t="e">
        <f ca="1">_xll.ESQuote("CCHHL.EQ-NSE","Change")</f>
        <v>#NAME?</v>
      </c>
      <c r="D232" s="2" t="e">
        <f ca="1">_xll.ESQuote("CCHHL.EQ-NSE","Close")</f>
        <v>#NAME?</v>
      </c>
      <c r="E232" s="2" t="e">
        <f ca="1">_xll.ESQuote("CCHHL.EQ-NSE","Company")</f>
        <v>#NAME?</v>
      </c>
      <c r="F232" s="2" t="e">
        <f ca="1">_xll.ESQuote("CCHHL.EQ-NSE","Description")</f>
        <v>#NAME?</v>
      </c>
      <c r="G232" s="2" t="e">
        <f ca="1">_xll.ESQuote("CCHHL.EQ-NSE","Exchange")</f>
        <v>#NAME?</v>
      </c>
      <c r="H232" s="2" t="e">
        <f ca="1">_xll.ESQuote("CCHHL.EQ-NSE","High")</f>
        <v>#NAME?</v>
      </c>
      <c r="I232" s="2" t="e">
        <f ca="1">_xll.ESQuote("CCHHL.EQ-NSE","Last")</f>
        <v>#NAME?</v>
      </c>
      <c r="J232" s="4" t="e">
        <f ca="1">_xll.ESQuote("CCHHL.EQ-NSE","Last_Time")</f>
        <v>#NAME?</v>
      </c>
      <c r="K232" s="2" t="e">
        <f ca="1">_xll.ESQuote("CCHHL.EQ-NSE","Low")</f>
        <v>#NAME?</v>
      </c>
      <c r="L232" s="2" t="e">
        <f ca="1">_xll.ESQuote("CCHHL.EQ-NSE","Open")</f>
        <v>#NAME?</v>
      </c>
      <c r="M232" s="2" t="e">
        <f ca="1">_xll.ESQuote("CCHHL.EQ-NSE","PrevPrice")</f>
        <v>#NAME?</v>
      </c>
      <c r="N232" s="2" t="e">
        <f ca="1">_xll.ESQuote("CCHHL.EQ-NSE","Symbol")</f>
        <v>#NAME?</v>
      </c>
      <c r="O232" s="2" t="e">
        <f ca="1">_xll.ESQuote("CCHHL.EQ-NSE","Volume")</f>
        <v>#NAME?</v>
      </c>
    </row>
    <row r="233" spans="1:15" x14ac:dyDescent="0.25">
      <c r="A233" s="1" t="s">
        <v>245</v>
      </c>
      <c r="B233" s="2" t="e">
        <f ca="1">_xll.ESQuote("CCL.EQ-NSE","% Change")</f>
        <v>#NAME?</v>
      </c>
      <c r="C233" s="2" t="e">
        <f ca="1">_xll.ESQuote("CCL.EQ-NSE","Change")</f>
        <v>#NAME?</v>
      </c>
      <c r="D233" s="2" t="e">
        <f ca="1">_xll.ESQuote("CCL.EQ-NSE","Close")</f>
        <v>#NAME?</v>
      </c>
      <c r="E233" s="2" t="e">
        <f ca="1">_xll.ESQuote("CCL.EQ-NSE","Company")</f>
        <v>#NAME?</v>
      </c>
      <c r="F233" s="2" t="e">
        <f ca="1">_xll.ESQuote("CCL.EQ-NSE","Description")</f>
        <v>#NAME?</v>
      </c>
      <c r="G233" s="2" t="e">
        <f ca="1">_xll.ESQuote("CCL.EQ-NSE","Exchange")</f>
        <v>#NAME?</v>
      </c>
      <c r="H233" s="2" t="e">
        <f ca="1">_xll.ESQuote("CCL.EQ-NSE","High")</f>
        <v>#NAME?</v>
      </c>
      <c r="I233" s="2" t="e">
        <f ca="1">_xll.ESQuote("CCL.EQ-NSE","Last")</f>
        <v>#NAME?</v>
      </c>
      <c r="J233" s="4" t="e">
        <f ca="1">_xll.ESQuote("CCL.EQ-NSE","Last_Time")</f>
        <v>#NAME?</v>
      </c>
      <c r="K233" s="2" t="e">
        <f ca="1">_xll.ESQuote("CCL.EQ-NSE","Low")</f>
        <v>#NAME?</v>
      </c>
      <c r="L233" s="2" t="e">
        <f ca="1">_xll.ESQuote("CCL.EQ-NSE","Open")</f>
        <v>#NAME?</v>
      </c>
      <c r="M233" s="2" t="e">
        <f ca="1">_xll.ESQuote("CCL.EQ-NSE","PrevPrice")</f>
        <v>#NAME?</v>
      </c>
      <c r="N233" s="2" t="e">
        <f ca="1">_xll.ESQuote("CCL.EQ-NSE","Symbol")</f>
        <v>#NAME?</v>
      </c>
      <c r="O233" s="2" t="e">
        <f ca="1">_xll.ESQuote("CCL.EQ-NSE","Volume")</f>
        <v>#NAME?</v>
      </c>
    </row>
    <row r="234" spans="1:15" x14ac:dyDescent="0.25">
      <c r="A234" s="1" t="s">
        <v>246</v>
      </c>
      <c r="B234" s="2" t="e">
        <f ca="1">_xll.ESQuote("CEATLTD.EQ-NSE","% Change")</f>
        <v>#NAME?</v>
      </c>
      <c r="C234" s="2" t="e">
        <f ca="1">_xll.ESQuote("CEATLTD.EQ-NSE","Change")</f>
        <v>#NAME?</v>
      </c>
      <c r="D234" s="2" t="e">
        <f ca="1">_xll.ESQuote("CEATLTD.EQ-NSE","Close")</f>
        <v>#NAME?</v>
      </c>
      <c r="E234" s="2" t="e">
        <f ca="1">_xll.ESQuote("CEATLTD.EQ-NSE","Company")</f>
        <v>#NAME?</v>
      </c>
      <c r="F234" s="2" t="e">
        <f ca="1">_xll.ESQuote("CEATLTD.EQ-NSE","Description")</f>
        <v>#NAME?</v>
      </c>
      <c r="G234" s="2" t="e">
        <f ca="1">_xll.ESQuote("CEATLTD.EQ-NSE","Exchange")</f>
        <v>#NAME?</v>
      </c>
      <c r="H234" s="2" t="e">
        <f ca="1">_xll.ESQuote("CEATLTD.EQ-NSE","High")</f>
        <v>#NAME?</v>
      </c>
      <c r="I234" s="2" t="e">
        <f ca="1">_xll.ESQuote("CEATLTD.EQ-NSE","Last")</f>
        <v>#NAME?</v>
      </c>
      <c r="J234" s="4" t="e">
        <f ca="1">_xll.ESQuote("CEATLTD.EQ-NSE","Last_Time")</f>
        <v>#NAME?</v>
      </c>
      <c r="K234" s="2" t="e">
        <f ca="1">_xll.ESQuote("CEATLTD.EQ-NSE","Low")</f>
        <v>#NAME?</v>
      </c>
      <c r="L234" s="2" t="e">
        <f ca="1">_xll.ESQuote("CEATLTD.EQ-NSE","Open")</f>
        <v>#NAME?</v>
      </c>
      <c r="M234" s="2" t="e">
        <f ca="1">_xll.ESQuote("CEATLTD.EQ-NSE","PrevPrice")</f>
        <v>#NAME?</v>
      </c>
      <c r="N234" s="2" t="e">
        <f ca="1">_xll.ESQuote("CEATLTD.EQ-NSE","Symbol")</f>
        <v>#NAME?</v>
      </c>
      <c r="O234" s="2" t="e">
        <f ca="1">_xll.ESQuote("CEATLTD.EQ-NSE","Volume")</f>
        <v>#NAME?</v>
      </c>
    </row>
    <row r="235" spans="1:15" x14ac:dyDescent="0.25">
      <c r="A235" s="1" t="s">
        <v>247</v>
      </c>
      <c r="B235" s="2" t="e">
        <f ca="1">_xll.ESQuote("CEBBCO.EQ-NSE","% Change")</f>
        <v>#NAME?</v>
      </c>
      <c r="C235" s="2" t="e">
        <f ca="1">_xll.ESQuote("CEBBCO.EQ-NSE","Change")</f>
        <v>#NAME?</v>
      </c>
      <c r="D235" s="2" t="e">
        <f ca="1">_xll.ESQuote("CEBBCO.EQ-NSE","Close")</f>
        <v>#NAME?</v>
      </c>
      <c r="E235" s="2" t="e">
        <f ca="1">_xll.ESQuote("CEBBCO.EQ-NSE","Company")</f>
        <v>#NAME?</v>
      </c>
      <c r="F235" s="2" t="e">
        <f ca="1">_xll.ESQuote("CEBBCO.EQ-NSE","Description")</f>
        <v>#NAME?</v>
      </c>
      <c r="G235" s="2" t="e">
        <f ca="1">_xll.ESQuote("CEBBCO.EQ-NSE","Exchange")</f>
        <v>#NAME?</v>
      </c>
      <c r="H235" s="2" t="e">
        <f ca="1">_xll.ESQuote("CEBBCO.EQ-NSE","High")</f>
        <v>#NAME?</v>
      </c>
      <c r="I235" s="2" t="e">
        <f ca="1">_xll.ESQuote("CEBBCO.EQ-NSE","Last")</f>
        <v>#NAME?</v>
      </c>
      <c r="J235" s="4" t="e">
        <f ca="1">_xll.ESQuote("CEBBCO.EQ-NSE","Last_Time")</f>
        <v>#NAME?</v>
      </c>
      <c r="K235" s="2" t="e">
        <f ca="1">_xll.ESQuote("CEBBCO.EQ-NSE","Low")</f>
        <v>#NAME?</v>
      </c>
      <c r="L235" s="2" t="e">
        <f ca="1">_xll.ESQuote("CEBBCO.EQ-NSE","Open")</f>
        <v>#NAME?</v>
      </c>
      <c r="M235" s="2" t="e">
        <f ca="1">_xll.ESQuote("CEBBCO.EQ-NSE","PrevPrice")</f>
        <v>#NAME?</v>
      </c>
      <c r="N235" s="2" t="e">
        <f ca="1">_xll.ESQuote("CEBBCO.EQ-NSE","Symbol")</f>
        <v>#NAME?</v>
      </c>
      <c r="O235" s="2" t="e">
        <f ca="1">_xll.ESQuote("CEBBCO.EQ-NSE","Volume")</f>
        <v>#NAME?</v>
      </c>
    </row>
    <row r="236" spans="1:15" x14ac:dyDescent="0.25">
      <c r="A236" s="1" t="s">
        <v>248</v>
      </c>
      <c r="B236" s="2" t="e">
        <f ca="1">_xll.ESQuote("CELEBRITY.EQ-NSE","% Change")</f>
        <v>#NAME?</v>
      </c>
      <c r="C236" s="2" t="e">
        <f ca="1">_xll.ESQuote("CELEBRITY.EQ-NSE","Change")</f>
        <v>#NAME?</v>
      </c>
      <c r="D236" s="2" t="e">
        <f ca="1">_xll.ESQuote("CELEBRITY.EQ-NSE","Close")</f>
        <v>#NAME?</v>
      </c>
      <c r="E236" s="2" t="e">
        <f ca="1">_xll.ESQuote("CELEBRITY.EQ-NSE","Company")</f>
        <v>#NAME?</v>
      </c>
      <c r="F236" s="2" t="e">
        <f ca="1">_xll.ESQuote("CELEBRITY.EQ-NSE","Description")</f>
        <v>#NAME?</v>
      </c>
      <c r="G236" s="2" t="e">
        <f ca="1">_xll.ESQuote("CELEBRITY.EQ-NSE","Exchange")</f>
        <v>#NAME?</v>
      </c>
      <c r="H236" s="2" t="e">
        <f ca="1">_xll.ESQuote("CELEBRITY.EQ-NSE","High")</f>
        <v>#NAME?</v>
      </c>
      <c r="I236" s="2" t="e">
        <f ca="1">_xll.ESQuote("CELEBRITY.EQ-NSE","Last")</f>
        <v>#NAME?</v>
      </c>
      <c r="J236" s="4" t="e">
        <f ca="1">_xll.ESQuote("CELEBRITY.EQ-NSE","Last_Time")</f>
        <v>#NAME?</v>
      </c>
      <c r="K236" s="2" t="e">
        <f ca="1">_xll.ESQuote("CELEBRITY.EQ-NSE","Low")</f>
        <v>#NAME?</v>
      </c>
      <c r="L236" s="2" t="e">
        <f ca="1">_xll.ESQuote("CELEBRITY.EQ-NSE","Open")</f>
        <v>#NAME?</v>
      </c>
      <c r="M236" s="2" t="e">
        <f ca="1">_xll.ESQuote("CELEBRITY.EQ-NSE","PrevPrice")</f>
        <v>#NAME?</v>
      </c>
      <c r="N236" s="2" t="e">
        <f ca="1">_xll.ESQuote("CELEBRITY.EQ-NSE","Symbol")</f>
        <v>#NAME?</v>
      </c>
      <c r="O236" s="2" t="e">
        <f ca="1">_xll.ESQuote("CELEBRITY.EQ-NSE","Volume")</f>
        <v>#NAME?</v>
      </c>
    </row>
    <row r="237" spans="1:15" x14ac:dyDescent="0.25">
      <c r="A237" s="1" t="s">
        <v>249</v>
      </c>
      <c r="B237" s="2" t="e">
        <f ca="1">_xll.ESQuote("CELESTIAL.EQ-NSE","% Change")</f>
        <v>#NAME?</v>
      </c>
      <c r="C237" s="2" t="e">
        <f ca="1">_xll.ESQuote("CELESTIAL.EQ-NSE","Change")</f>
        <v>#NAME?</v>
      </c>
      <c r="D237" s="2" t="e">
        <f ca="1">_xll.ESQuote("CELESTIAL.EQ-NSE","Close")</f>
        <v>#NAME?</v>
      </c>
      <c r="E237" s="2" t="e">
        <f ca="1">_xll.ESQuote("CELESTIAL.EQ-NSE","Company")</f>
        <v>#NAME?</v>
      </c>
      <c r="F237" s="2" t="e">
        <f ca="1">_xll.ESQuote("CELESTIAL.EQ-NSE","Description")</f>
        <v>#NAME?</v>
      </c>
      <c r="G237" s="2" t="e">
        <f ca="1">_xll.ESQuote("CELESTIAL.EQ-NSE","Exchange")</f>
        <v>#NAME?</v>
      </c>
      <c r="H237" s="2" t="e">
        <f ca="1">_xll.ESQuote("CELESTIAL.EQ-NSE","High")</f>
        <v>#NAME?</v>
      </c>
      <c r="I237" s="2" t="e">
        <f ca="1">_xll.ESQuote("CELESTIAL.EQ-NSE","Last")</f>
        <v>#NAME?</v>
      </c>
      <c r="J237" s="4" t="e">
        <f ca="1">_xll.ESQuote("CELESTIAL.EQ-NSE","Last_Time")</f>
        <v>#NAME?</v>
      </c>
      <c r="K237" s="2" t="e">
        <f ca="1">_xll.ESQuote("CELESTIAL.EQ-NSE","Low")</f>
        <v>#NAME?</v>
      </c>
      <c r="L237" s="2" t="e">
        <f ca="1">_xll.ESQuote("CELESTIAL.EQ-NSE","Open")</f>
        <v>#NAME?</v>
      </c>
      <c r="M237" s="2" t="e">
        <f ca="1">_xll.ESQuote("CELESTIAL.EQ-NSE","PrevPrice")</f>
        <v>#NAME?</v>
      </c>
      <c r="N237" s="2" t="e">
        <f ca="1">_xll.ESQuote("CELESTIAL.EQ-NSE","Symbol")</f>
        <v>#NAME?</v>
      </c>
      <c r="O237" s="2" t="e">
        <f ca="1">_xll.ESQuote("CELESTIAL.EQ-NSE","Volume")</f>
        <v>#NAME?</v>
      </c>
    </row>
    <row r="238" spans="1:15" x14ac:dyDescent="0.25">
      <c r="A238" s="1" t="s">
        <v>250</v>
      </c>
      <c r="B238" s="2" t="e">
        <f ca="1">_xll.ESQuote("CENTENKA.EQ-NSE","% Change")</f>
        <v>#NAME?</v>
      </c>
      <c r="C238" s="2" t="e">
        <f ca="1">_xll.ESQuote("CENTENKA.EQ-NSE","Change")</f>
        <v>#NAME?</v>
      </c>
      <c r="D238" s="2" t="e">
        <f ca="1">_xll.ESQuote("CENTENKA.EQ-NSE","Close")</f>
        <v>#NAME?</v>
      </c>
      <c r="E238" s="2" t="e">
        <f ca="1">_xll.ESQuote("CENTENKA.EQ-NSE","Company")</f>
        <v>#NAME?</v>
      </c>
      <c r="F238" s="2" t="e">
        <f ca="1">_xll.ESQuote("CENTENKA.EQ-NSE","Description")</f>
        <v>#NAME?</v>
      </c>
      <c r="G238" s="2" t="e">
        <f ca="1">_xll.ESQuote("CENTENKA.EQ-NSE","Exchange")</f>
        <v>#NAME?</v>
      </c>
      <c r="H238" s="2" t="e">
        <f ca="1">_xll.ESQuote("CENTENKA.EQ-NSE","High")</f>
        <v>#NAME?</v>
      </c>
      <c r="I238" s="2" t="e">
        <f ca="1">_xll.ESQuote("CENTENKA.EQ-NSE","Last")</f>
        <v>#NAME?</v>
      </c>
      <c r="J238" s="4" t="e">
        <f ca="1">_xll.ESQuote("CENTENKA.EQ-NSE","Last_Time")</f>
        <v>#NAME?</v>
      </c>
      <c r="K238" s="2" t="e">
        <f ca="1">_xll.ESQuote("CENTENKA.EQ-NSE","Low")</f>
        <v>#NAME?</v>
      </c>
      <c r="L238" s="2" t="e">
        <f ca="1">_xll.ESQuote("CENTENKA.EQ-NSE","Open")</f>
        <v>#NAME?</v>
      </c>
      <c r="M238" s="2" t="e">
        <f ca="1">_xll.ESQuote("CENTENKA.EQ-NSE","PrevPrice")</f>
        <v>#NAME?</v>
      </c>
      <c r="N238" s="2" t="e">
        <f ca="1">_xll.ESQuote("CENTENKA.EQ-NSE","Symbol")</f>
        <v>#NAME?</v>
      </c>
      <c r="O238" s="2" t="e">
        <f ca="1">_xll.ESQuote("CENTENKA.EQ-NSE","Volume")</f>
        <v>#NAME?</v>
      </c>
    </row>
    <row r="239" spans="1:15" x14ac:dyDescent="0.25">
      <c r="A239" s="1" t="s">
        <v>251</v>
      </c>
      <c r="B239" s="2" t="e">
        <f ca="1">_xll.ESQuote("CENTEXT.EQ-NSE","% Change")</f>
        <v>#NAME?</v>
      </c>
      <c r="C239" s="2" t="e">
        <f ca="1">_xll.ESQuote("CENTEXT.EQ-NSE","Change")</f>
        <v>#NAME?</v>
      </c>
      <c r="D239" s="2" t="e">
        <f ca="1">_xll.ESQuote("CENTEXT.EQ-NSE","Close")</f>
        <v>#NAME?</v>
      </c>
      <c r="E239" s="2" t="e">
        <f ca="1">_xll.ESQuote("CENTEXT.EQ-NSE","Company")</f>
        <v>#NAME?</v>
      </c>
      <c r="F239" s="2" t="e">
        <f ca="1">_xll.ESQuote("CENTEXT.EQ-NSE","Description")</f>
        <v>#NAME?</v>
      </c>
      <c r="G239" s="2" t="e">
        <f ca="1">_xll.ESQuote("CENTEXT.EQ-NSE","Exchange")</f>
        <v>#NAME?</v>
      </c>
      <c r="H239" s="2" t="e">
        <f ca="1">_xll.ESQuote("CENTEXT.EQ-NSE","High")</f>
        <v>#NAME?</v>
      </c>
      <c r="I239" s="2" t="e">
        <f ca="1">_xll.ESQuote("CENTEXT.EQ-NSE","Last")</f>
        <v>#NAME?</v>
      </c>
      <c r="J239" s="4" t="e">
        <f ca="1">_xll.ESQuote("CENTEXT.EQ-NSE","Last_Time")</f>
        <v>#NAME?</v>
      </c>
      <c r="K239" s="2" t="e">
        <f ca="1">_xll.ESQuote("CENTEXT.EQ-NSE","Low")</f>
        <v>#NAME?</v>
      </c>
      <c r="L239" s="2" t="e">
        <f ca="1">_xll.ESQuote("CENTEXT.EQ-NSE","Open")</f>
        <v>#NAME?</v>
      </c>
      <c r="M239" s="2" t="e">
        <f ca="1">_xll.ESQuote("CENTEXT.EQ-NSE","PrevPrice")</f>
        <v>#NAME?</v>
      </c>
      <c r="N239" s="2" t="e">
        <f ca="1">_xll.ESQuote("CENTEXT.EQ-NSE","Symbol")</f>
        <v>#NAME?</v>
      </c>
      <c r="O239" s="2" t="e">
        <f ca="1">_xll.ESQuote("CENTEXT.EQ-NSE","Volume")</f>
        <v>#NAME?</v>
      </c>
    </row>
    <row r="240" spans="1:15" x14ac:dyDescent="0.25">
      <c r="A240" s="1" t="s">
        <v>252</v>
      </c>
      <c r="B240" s="2" t="e">
        <f ca="1">_xll.ESQuote("CENTRALBK.EQ-NSE","% Change")</f>
        <v>#NAME?</v>
      </c>
      <c r="C240" s="2" t="e">
        <f ca="1">_xll.ESQuote("CENTRALBK.EQ-NSE","Change")</f>
        <v>#NAME?</v>
      </c>
      <c r="D240" s="2" t="e">
        <f ca="1">_xll.ESQuote("CENTRALBK.EQ-NSE","Close")</f>
        <v>#NAME?</v>
      </c>
      <c r="E240" s="2" t="e">
        <f ca="1">_xll.ESQuote("CENTRALBK.EQ-NSE","Company")</f>
        <v>#NAME?</v>
      </c>
      <c r="F240" s="2" t="e">
        <f ca="1">_xll.ESQuote("CENTRALBK.EQ-NSE","Description")</f>
        <v>#NAME?</v>
      </c>
      <c r="G240" s="2" t="e">
        <f ca="1">_xll.ESQuote("CENTRALBK.EQ-NSE","Exchange")</f>
        <v>#NAME?</v>
      </c>
      <c r="H240" s="2" t="e">
        <f ca="1">_xll.ESQuote("CENTRALBK.EQ-NSE","High")</f>
        <v>#NAME?</v>
      </c>
      <c r="I240" s="2" t="e">
        <f ca="1">_xll.ESQuote("CENTRALBK.EQ-NSE","Last")</f>
        <v>#NAME?</v>
      </c>
      <c r="J240" s="4" t="e">
        <f ca="1">_xll.ESQuote("CENTRALBK.EQ-NSE","Last_Time")</f>
        <v>#NAME?</v>
      </c>
      <c r="K240" s="2" t="e">
        <f ca="1">_xll.ESQuote("CENTRALBK.EQ-NSE","Low")</f>
        <v>#NAME?</v>
      </c>
      <c r="L240" s="2" t="e">
        <f ca="1">_xll.ESQuote("CENTRALBK.EQ-NSE","Open")</f>
        <v>#NAME?</v>
      </c>
      <c r="M240" s="2" t="e">
        <f ca="1">_xll.ESQuote("CENTRALBK.EQ-NSE","PrevPrice")</f>
        <v>#NAME?</v>
      </c>
      <c r="N240" s="2" t="e">
        <f ca="1">_xll.ESQuote("CENTRALBK.EQ-NSE","Symbol")</f>
        <v>#NAME?</v>
      </c>
      <c r="O240" s="2" t="e">
        <f ca="1">_xll.ESQuote("CENTRALBK.EQ-NSE","Volume")</f>
        <v>#NAME?</v>
      </c>
    </row>
    <row r="241" spans="1:15" x14ac:dyDescent="0.25">
      <c r="A241" s="1" t="s">
        <v>253</v>
      </c>
      <c r="B241" s="2" t="e">
        <f ca="1">_xll.ESQuote("CENTUM.EQ-NSE","% Change")</f>
        <v>#NAME?</v>
      </c>
      <c r="C241" s="2" t="e">
        <f ca="1">_xll.ESQuote("CENTUM.EQ-NSE","Change")</f>
        <v>#NAME?</v>
      </c>
      <c r="D241" s="2" t="e">
        <f ca="1">_xll.ESQuote("CENTUM.EQ-NSE","Close")</f>
        <v>#NAME?</v>
      </c>
      <c r="E241" s="2" t="e">
        <f ca="1">_xll.ESQuote("CENTUM.EQ-NSE","Company")</f>
        <v>#NAME?</v>
      </c>
      <c r="F241" s="2" t="e">
        <f ca="1">_xll.ESQuote("CENTUM.EQ-NSE","Description")</f>
        <v>#NAME?</v>
      </c>
      <c r="G241" s="2" t="e">
        <f ca="1">_xll.ESQuote("CENTUM.EQ-NSE","Exchange")</f>
        <v>#NAME?</v>
      </c>
      <c r="H241" s="2" t="e">
        <f ca="1">_xll.ESQuote("CENTUM.EQ-NSE","High")</f>
        <v>#NAME?</v>
      </c>
      <c r="I241" s="2" t="e">
        <f ca="1">_xll.ESQuote("CENTUM.EQ-NSE","Last")</f>
        <v>#NAME?</v>
      </c>
      <c r="J241" s="4" t="e">
        <f ca="1">_xll.ESQuote("CENTUM.EQ-NSE","Last_Time")</f>
        <v>#NAME?</v>
      </c>
      <c r="K241" s="2" t="e">
        <f ca="1">_xll.ESQuote("CENTUM.EQ-NSE","Low")</f>
        <v>#NAME?</v>
      </c>
      <c r="L241" s="2" t="e">
        <f ca="1">_xll.ESQuote("CENTUM.EQ-NSE","Open")</f>
        <v>#NAME?</v>
      </c>
      <c r="M241" s="2" t="e">
        <f ca="1">_xll.ESQuote("CENTUM.EQ-NSE","PrevPrice")</f>
        <v>#NAME?</v>
      </c>
      <c r="N241" s="2" t="e">
        <f ca="1">_xll.ESQuote("CENTUM.EQ-NSE","Symbol")</f>
        <v>#NAME?</v>
      </c>
      <c r="O241" s="2" t="e">
        <f ca="1">_xll.ESQuote("CENTUM.EQ-NSE","Volume")</f>
        <v>#NAME?</v>
      </c>
    </row>
    <row r="242" spans="1:15" x14ac:dyDescent="0.25">
      <c r="A242" s="1" t="s">
        <v>254</v>
      </c>
      <c r="B242" s="2" t="e">
        <f ca="1">_xll.ESQuote("CENTURYPLY.EQ-NSE","% Change")</f>
        <v>#NAME?</v>
      </c>
      <c r="C242" s="2" t="e">
        <f ca="1">_xll.ESQuote("CENTURYPLY.EQ-NSE","Change")</f>
        <v>#NAME?</v>
      </c>
      <c r="D242" s="2" t="e">
        <f ca="1">_xll.ESQuote("CENTURYPLY.EQ-NSE","Close")</f>
        <v>#NAME?</v>
      </c>
      <c r="E242" s="2" t="e">
        <f ca="1">_xll.ESQuote("CENTURYPLY.EQ-NSE","Company")</f>
        <v>#NAME?</v>
      </c>
      <c r="F242" s="2" t="e">
        <f ca="1">_xll.ESQuote("CENTURYPLY.EQ-NSE","Description")</f>
        <v>#NAME?</v>
      </c>
      <c r="G242" s="2" t="e">
        <f ca="1">_xll.ESQuote("CENTURYPLY.EQ-NSE","Exchange")</f>
        <v>#NAME?</v>
      </c>
      <c r="H242" s="2" t="e">
        <f ca="1">_xll.ESQuote("CENTURYPLY.EQ-NSE","High")</f>
        <v>#NAME?</v>
      </c>
      <c r="I242" s="2" t="e">
        <f ca="1">_xll.ESQuote("CENTURYPLY.EQ-NSE","Last")</f>
        <v>#NAME?</v>
      </c>
      <c r="J242" s="4" t="e">
        <f ca="1">_xll.ESQuote("CENTURYPLY.EQ-NSE","Last_Time")</f>
        <v>#NAME?</v>
      </c>
      <c r="K242" s="2" t="e">
        <f ca="1">_xll.ESQuote("CENTURYPLY.EQ-NSE","Low")</f>
        <v>#NAME?</v>
      </c>
      <c r="L242" s="2" t="e">
        <f ca="1">_xll.ESQuote("CENTURYPLY.EQ-NSE","Open")</f>
        <v>#NAME?</v>
      </c>
      <c r="M242" s="2" t="e">
        <f ca="1">_xll.ESQuote("CENTURYPLY.EQ-NSE","PrevPrice")</f>
        <v>#NAME?</v>
      </c>
      <c r="N242" s="2" t="e">
        <f ca="1">_xll.ESQuote("CENTURYPLY.EQ-NSE","Symbol")</f>
        <v>#NAME?</v>
      </c>
      <c r="O242" s="2" t="e">
        <f ca="1">_xll.ESQuote("CENTURYPLY.EQ-NSE","Volume")</f>
        <v>#NAME?</v>
      </c>
    </row>
    <row r="243" spans="1:15" x14ac:dyDescent="0.25">
      <c r="A243" s="1" t="s">
        <v>255</v>
      </c>
      <c r="B243" s="2" t="e">
        <f ca="1">_xll.ESQuote("CENTURYTEX.EQ-NSE","% Change")</f>
        <v>#NAME?</v>
      </c>
      <c r="C243" s="2" t="e">
        <f ca="1">_xll.ESQuote("CENTURYTEX.EQ-NSE","Change")</f>
        <v>#NAME?</v>
      </c>
      <c r="D243" s="2" t="e">
        <f ca="1">_xll.ESQuote("CENTURYTEX.EQ-NSE","Close")</f>
        <v>#NAME?</v>
      </c>
      <c r="E243" s="2" t="e">
        <f ca="1">_xll.ESQuote("CENTURYTEX.EQ-NSE","Company")</f>
        <v>#NAME?</v>
      </c>
      <c r="F243" s="2" t="e">
        <f ca="1">_xll.ESQuote("CENTURYTEX.EQ-NSE","Description")</f>
        <v>#NAME?</v>
      </c>
      <c r="G243" s="2" t="e">
        <f ca="1">_xll.ESQuote("CENTURYTEX.EQ-NSE","Exchange")</f>
        <v>#NAME?</v>
      </c>
      <c r="H243" s="2" t="e">
        <f ca="1">_xll.ESQuote("CENTURYTEX.EQ-NSE","High")</f>
        <v>#NAME?</v>
      </c>
      <c r="I243" s="2" t="e">
        <f ca="1">_xll.ESQuote("CENTURYTEX.EQ-NSE","Last")</f>
        <v>#NAME?</v>
      </c>
      <c r="J243" s="4" t="e">
        <f ca="1">_xll.ESQuote("CENTURYTEX.EQ-NSE","Last_Time")</f>
        <v>#NAME?</v>
      </c>
      <c r="K243" s="2" t="e">
        <f ca="1">_xll.ESQuote("CENTURYTEX.EQ-NSE","Low")</f>
        <v>#NAME?</v>
      </c>
      <c r="L243" s="2" t="e">
        <f ca="1">_xll.ESQuote("CENTURYTEX.EQ-NSE","Open")</f>
        <v>#NAME?</v>
      </c>
      <c r="M243" s="2" t="e">
        <f ca="1">_xll.ESQuote("CENTURYTEX.EQ-NSE","PrevPrice")</f>
        <v>#NAME?</v>
      </c>
      <c r="N243" s="2" t="e">
        <f ca="1">_xll.ESQuote("CENTURYTEX.EQ-NSE","Symbol")</f>
        <v>#NAME?</v>
      </c>
      <c r="O243" s="2" t="e">
        <f ca="1">_xll.ESQuote("CENTURYTEX.EQ-NSE","Volume")</f>
        <v>#NAME?</v>
      </c>
    </row>
    <row r="244" spans="1:15" x14ac:dyDescent="0.25">
      <c r="A244" s="1" t="s">
        <v>256</v>
      </c>
      <c r="B244" s="2" t="e">
        <f ca="1">_xll.ESQuote("CERA.EQ-NSE","% Change")</f>
        <v>#NAME?</v>
      </c>
      <c r="C244" s="2" t="e">
        <f ca="1">_xll.ESQuote("CERA.EQ-NSE","Change")</f>
        <v>#NAME?</v>
      </c>
      <c r="D244" s="2" t="e">
        <f ca="1">_xll.ESQuote("CERA.EQ-NSE","Close")</f>
        <v>#NAME?</v>
      </c>
      <c r="E244" s="2" t="e">
        <f ca="1">_xll.ESQuote("CERA.EQ-NSE","Company")</f>
        <v>#NAME?</v>
      </c>
      <c r="F244" s="2" t="e">
        <f ca="1">_xll.ESQuote("CERA.EQ-NSE","Description")</f>
        <v>#NAME?</v>
      </c>
      <c r="G244" s="2" t="e">
        <f ca="1">_xll.ESQuote("CERA.EQ-NSE","Exchange")</f>
        <v>#NAME?</v>
      </c>
      <c r="H244" s="2" t="e">
        <f ca="1">_xll.ESQuote("CERA.EQ-NSE","High")</f>
        <v>#NAME?</v>
      </c>
      <c r="I244" s="2" t="e">
        <f ca="1">_xll.ESQuote("CERA.EQ-NSE","Last")</f>
        <v>#NAME?</v>
      </c>
      <c r="J244" s="4" t="e">
        <f ca="1">_xll.ESQuote("CERA.EQ-NSE","Last_Time")</f>
        <v>#NAME?</v>
      </c>
      <c r="K244" s="2" t="e">
        <f ca="1">_xll.ESQuote("CERA.EQ-NSE","Low")</f>
        <v>#NAME?</v>
      </c>
      <c r="L244" s="2" t="e">
        <f ca="1">_xll.ESQuote("CERA.EQ-NSE","Open")</f>
        <v>#NAME?</v>
      </c>
      <c r="M244" s="2" t="e">
        <f ca="1">_xll.ESQuote("CERA.EQ-NSE","PrevPrice")</f>
        <v>#NAME?</v>
      </c>
      <c r="N244" s="2" t="e">
        <f ca="1">_xll.ESQuote("CERA.EQ-NSE","Symbol")</f>
        <v>#NAME?</v>
      </c>
      <c r="O244" s="2" t="e">
        <f ca="1">_xll.ESQuote("CERA.EQ-NSE","Volume")</f>
        <v>#NAME?</v>
      </c>
    </row>
    <row r="245" spans="1:15" x14ac:dyDescent="0.25">
      <c r="A245" s="1" t="s">
        <v>257</v>
      </c>
      <c r="B245" s="2" t="e">
        <f ca="1">_xll.ESQuote("CEREBRAINT.EQ-NSE","% Change")</f>
        <v>#NAME?</v>
      </c>
      <c r="C245" s="2" t="e">
        <f ca="1">_xll.ESQuote("CEREBRAINT.EQ-NSE","Change")</f>
        <v>#NAME?</v>
      </c>
      <c r="D245" s="2" t="e">
        <f ca="1">_xll.ESQuote("CEREBRAINT.EQ-NSE","Close")</f>
        <v>#NAME?</v>
      </c>
      <c r="E245" s="2" t="e">
        <f ca="1">_xll.ESQuote("CEREBRAINT.EQ-NSE","Company")</f>
        <v>#NAME?</v>
      </c>
      <c r="F245" s="2" t="e">
        <f ca="1">_xll.ESQuote("CEREBRAINT.EQ-NSE","Description")</f>
        <v>#NAME?</v>
      </c>
      <c r="G245" s="2" t="e">
        <f ca="1">_xll.ESQuote("CEREBRAINT.EQ-NSE","Exchange")</f>
        <v>#NAME?</v>
      </c>
      <c r="H245" s="2" t="e">
        <f ca="1">_xll.ESQuote("CEREBRAINT.EQ-NSE","High")</f>
        <v>#NAME?</v>
      </c>
      <c r="I245" s="2" t="e">
        <f ca="1">_xll.ESQuote("CEREBRAINT.EQ-NSE","Last")</f>
        <v>#NAME?</v>
      </c>
      <c r="J245" s="4" t="e">
        <f ca="1">_xll.ESQuote("CEREBRAINT.EQ-NSE","Last_Time")</f>
        <v>#NAME?</v>
      </c>
      <c r="K245" s="2" t="e">
        <f ca="1">_xll.ESQuote("CEREBRAINT.EQ-NSE","Low")</f>
        <v>#NAME?</v>
      </c>
      <c r="L245" s="2" t="e">
        <f ca="1">_xll.ESQuote("CEREBRAINT.EQ-NSE","Open")</f>
        <v>#NAME?</v>
      </c>
      <c r="M245" s="2" t="e">
        <f ca="1">_xll.ESQuote("CEREBRAINT.EQ-NSE","PrevPrice")</f>
        <v>#NAME?</v>
      </c>
      <c r="N245" s="2" t="e">
        <f ca="1">_xll.ESQuote("CEREBRAINT.EQ-NSE","Symbol")</f>
        <v>#NAME?</v>
      </c>
      <c r="O245" s="2" t="e">
        <f ca="1">_xll.ESQuote("CEREBRAINT.EQ-NSE","Volume")</f>
        <v>#NAME?</v>
      </c>
    </row>
    <row r="246" spans="1:15" x14ac:dyDescent="0.25">
      <c r="A246" s="1" t="s">
        <v>258</v>
      </c>
      <c r="B246" s="2" t="e">
        <f ca="1">_xll.ESQuote("CESC.EQ-NSE","% Change")</f>
        <v>#NAME?</v>
      </c>
      <c r="C246" s="2" t="e">
        <f ca="1">_xll.ESQuote("CESC.EQ-NSE","Change")</f>
        <v>#NAME?</v>
      </c>
      <c r="D246" s="2" t="e">
        <f ca="1">_xll.ESQuote("CESC.EQ-NSE","Close")</f>
        <v>#NAME?</v>
      </c>
      <c r="E246" s="2" t="e">
        <f ca="1">_xll.ESQuote("CESC.EQ-NSE","Company")</f>
        <v>#NAME?</v>
      </c>
      <c r="F246" s="2" t="e">
        <f ca="1">_xll.ESQuote("CESC.EQ-NSE","Description")</f>
        <v>#NAME?</v>
      </c>
      <c r="G246" s="2" t="e">
        <f ca="1">_xll.ESQuote("CESC.EQ-NSE","Exchange")</f>
        <v>#NAME?</v>
      </c>
      <c r="H246" s="2" t="e">
        <f ca="1">_xll.ESQuote("CESC.EQ-NSE","High")</f>
        <v>#NAME?</v>
      </c>
      <c r="I246" s="2" t="e">
        <f ca="1">_xll.ESQuote("CESC.EQ-NSE","Last")</f>
        <v>#NAME?</v>
      </c>
      <c r="J246" s="4" t="e">
        <f ca="1">_xll.ESQuote("CESC.EQ-NSE","Last_Time")</f>
        <v>#NAME?</v>
      </c>
      <c r="K246" s="2" t="e">
        <f ca="1">_xll.ESQuote("CESC.EQ-NSE","Low")</f>
        <v>#NAME?</v>
      </c>
      <c r="L246" s="2" t="e">
        <f ca="1">_xll.ESQuote("CESC.EQ-NSE","Open")</f>
        <v>#NAME?</v>
      </c>
      <c r="M246" s="2" t="e">
        <f ca="1">_xll.ESQuote("CESC.EQ-NSE","PrevPrice")</f>
        <v>#NAME?</v>
      </c>
      <c r="N246" s="2" t="e">
        <f ca="1">_xll.ESQuote("CESC.EQ-NSE","Symbol")</f>
        <v>#NAME?</v>
      </c>
      <c r="O246" s="2" t="e">
        <f ca="1">_xll.ESQuote("CESC.EQ-NSE","Volume")</f>
        <v>#NAME?</v>
      </c>
    </row>
    <row r="247" spans="1:15" x14ac:dyDescent="0.25">
      <c r="A247" s="1" t="s">
        <v>259</v>
      </c>
      <c r="B247" s="2" t="e">
        <f ca="1">_xll.ESQuote("CGCL.EQ-NSE","% Change")</f>
        <v>#NAME?</v>
      </c>
      <c r="C247" s="2" t="e">
        <f ca="1">_xll.ESQuote("CGCL.EQ-NSE","Change")</f>
        <v>#NAME?</v>
      </c>
      <c r="D247" s="2" t="e">
        <f ca="1">_xll.ESQuote("CGCL.EQ-NSE","Close")</f>
        <v>#NAME?</v>
      </c>
      <c r="E247" s="2" t="e">
        <f ca="1">_xll.ESQuote("CGCL.EQ-NSE","Company")</f>
        <v>#NAME?</v>
      </c>
      <c r="F247" s="2" t="e">
        <f ca="1">_xll.ESQuote("CGCL.EQ-NSE","Description")</f>
        <v>#NAME?</v>
      </c>
      <c r="G247" s="2" t="e">
        <f ca="1">_xll.ESQuote("CGCL.EQ-NSE","Exchange")</f>
        <v>#NAME?</v>
      </c>
      <c r="H247" s="2" t="e">
        <f ca="1">_xll.ESQuote("CGCL.EQ-NSE","High")</f>
        <v>#NAME?</v>
      </c>
      <c r="I247" s="2" t="e">
        <f ca="1">_xll.ESQuote("CGCL.EQ-NSE","Last")</f>
        <v>#NAME?</v>
      </c>
      <c r="J247" s="4" t="e">
        <f ca="1">_xll.ESQuote("CGCL.EQ-NSE","Last_Time")</f>
        <v>#NAME?</v>
      </c>
      <c r="K247" s="2" t="e">
        <f ca="1">_xll.ESQuote("CGCL.EQ-NSE","Low")</f>
        <v>#NAME?</v>
      </c>
      <c r="L247" s="2" t="e">
        <f ca="1">_xll.ESQuote("CGCL.EQ-NSE","Open")</f>
        <v>#NAME?</v>
      </c>
      <c r="M247" s="2" t="e">
        <f ca="1">_xll.ESQuote("CGCL.EQ-NSE","PrevPrice")</f>
        <v>#NAME?</v>
      </c>
      <c r="N247" s="2" t="e">
        <f ca="1">_xll.ESQuote("CGCL.EQ-NSE","Symbol")</f>
        <v>#NAME?</v>
      </c>
      <c r="O247" s="2" t="e">
        <f ca="1">_xll.ESQuote("CGCL.EQ-NSE","Volume")</f>
        <v>#NAME?</v>
      </c>
    </row>
    <row r="248" spans="1:15" x14ac:dyDescent="0.25">
      <c r="A248" s="1" t="s">
        <v>260</v>
      </c>
      <c r="B248" s="2" t="e">
        <f ca="1">_xll.ESQuote("CHAMBLFERT.EQ-NSE","% Change")</f>
        <v>#NAME?</v>
      </c>
      <c r="C248" s="2" t="e">
        <f ca="1">_xll.ESQuote("CHAMBLFERT.EQ-NSE","Change")</f>
        <v>#NAME?</v>
      </c>
      <c r="D248" s="2" t="e">
        <f ca="1">_xll.ESQuote("CHAMBLFERT.EQ-NSE","Close")</f>
        <v>#NAME?</v>
      </c>
      <c r="E248" s="2" t="e">
        <f ca="1">_xll.ESQuote("CHAMBLFERT.EQ-NSE","Company")</f>
        <v>#NAME?</v>
      </c>
      <c r="F248" s="2" t="e">
        <f ca="1">_xll.ESQuote("CHAMBLFERT.EQ-NSE","Description")</f>
        <v>#NAME?</v>
      </c>
      <c r="G248" s="2" t="e">
        <f ca="1">_xll.ESQuote("CHAMBLFERT.EQ-NSE","Exchange")</f>
        <v>#NAME?</v>
      </c>
      <c r="H248" s="2" t="e">
        <f ca="1">_xll.ESQuote("CHAMBLFERT.EQ-NSE","High")</f>
        <v>#NAME?</v>
      </c>
      <c r="I248" s="2" t="e">
        <f ca="1">_xll.ESQuote("CHAMBLFERT.EQ-NSE","Last")</f>
        <v>#NAME?</v>
      </c>
      <c r="J248" s="4" t="e">
        <f ca="1">_xll.ESQuote("CHAMBLFERT.EQ-NSE","Last_Time")</f>
        <v>#NAME?</v>
      </c>
      <c r="K248" s="2" t="e">
        <f ca="1">_xll.ESQuote("CHAMBLFERT.EQ-NSE","Low")</f>
        <v>#NAME?</v>
      </c>
      <c r="L248" s="2" t="e">
        <f ca="1">_xll.ESQuote("CHAMBLFERT.EQ-NSE","Open")</f>
        <v>#NAME?</v>
      </c>
      <c r="M248" s="2" t="e">
        <f ca="1">_xll.ESQuote("CHAMBLFERT.EQ-NSE","PrevPrice")</f>
        <v>#NAME?</v>
      </c>
      <c r="N248" s="2" t="e">
        <f ca="1">_xll.ESQuote("CHAMBLFERT.EQ-NSE","Symbol")</f>
        <v>#NAME?</v>
      </c>
      <c r="O248" s="2" t="e">
        <f ca="1">_xll.ESQuote("CHAMBLFERT.EQ-NSE","Volume")</f>
        <v>#NAME?</v>
      </c>
    </row>
    <row r="249" spans="1:15" x14ac:dyDescent="0.25">
      <c r="A249" s="1" t="s">
        <v>261</v>
      </c>
      <c r="B249" s="2" t="e">
        <f ca="1">_xll.ESQuote("CHEMFALKAL.EQ-NSE","% Change")</f>
        <v>#NAME?</v>
      </c>
      <c r="C249" s="2" t="e">
        <f ca="1">_xll.ESQuote("CHEMFALKAL.EQ-NSE","Change")</f>
        <v>#NAME?</v>
      </c>
      <c r="D249" s="2" t="e">
        <f ca="1">_xll.ESQuote("CHEMFALKAL.EQ-NSE","Close")</f>
        <v>#NAME?</v>
      </c>
      <c r="E249" s="2" t="e">
        <f ca="1">_xll.ESQuote("CHEMFALKAL.EQ-NSE","Company")</f>
        <v>#NAME?</v>
      </c>
      <c r="F249" s="2" t="e">
        <f ca="1">_xll.ESQuote("CHEMFALKAL.EQ-NSE","Description")</f>
        <v>#NAME?</v>
      </c>
      <c r="G249" s="2" t="e">
        <f ca="1">_xll.ESQuote("CHEMFALKAL.EQ-NSE","Exchange")</f>
        <v>#NAME?</v>
      </c>
      <c r="H249" s="2" t="e">
        <f ca="1">_xll.ESQuote("CHEMFALKAL.EQ-NSE","High")</f>
        <v>#NAME?</v>
      </c>
      <c r="I249" s="2" t="e">
        <f ca="1">_xll.ESQuote("CHEMFALKAL.EQ-NSE","Last")</f>
        <v>#NAME?</v>
      </c>
      <c r="J249" s="4" t="e">
        <f ca="1">_xll.ESQuote("CHEMFALKAL.EQ-NSE","Last_Time")</f>
        <v>#NAME?</v>
      </c>
      <c r="K249" s="2" t="e">
        <f ca="1">_xll.ESQuote("CHEMFALKAL.EQ-NSE","Low")</f>
        <v>#NAME?</v>
      </c>
      <c r="L249" s="2" t="e">
        <f ca="1">_xll.ESQuote("CHEMFALKAL.EQ-NSE","Open")</f>
        <v>#NAME?</v>
      </c>
      <c r="M249" s="2" t="e">
        <f ca="1">_xll.ESQuote("CHEMFALKAL.EQ-NSE","PrevPrice")</f>
        <v>#NAME?</v>
      </c>
      <c r="N249" s="2" t="e">
        <f ca="1">_xll.ESQuote("CHEMFALKAL.EQ-NSE","Symbol")</f>
        <v>#NAME?</v>
      </c>
      <c r="O249" s="2" t="e">
        <f ca="1">_xll.ESQuote("CHEMFALKAL.EQ-NSE","Volume")</f>
        <v>#NAME?</v>
      </c>
    </row>
    <row r="250" spans="1:15" x14ac:dyDescent="0.25">
      <c r="A250" s="1" t="s">
        <v>262</v>
      </c>
      <c r="B250" s="2" t="e">
        <f ca="1">_xll.ESQuote("CHENNPETRO.EQ-NSE","% Change")</f>
        <v>#NAME?</v>
      </c>
      <c r="C250" s="2" t="e">
        <f ca="1">_xll.ESQuote("CHENNPETRO.EQ-NSE","Change")</f>
        <v>#NAME?</v>
      </c>
      <c r="D250" s="2" t="e">
        <f ca="1">_xll.ESQuote("CHENNPETRO.EQ-NSE","Close")</f>
        <v>#NAME?</v>
      </c>
      <c r="E250" s="2" t="e">
        <f ca="1">_xll.ESQuote("CHENNPETRO.EQ-NSE","Company")</f>
        <v>#NAME?</v>
      </c>
      <c r="F250" s="2" t="e">
        <f ca="1">_xll.ESQuote("CHENNPETRO.EQ-NSE","Description")</f>
        <v>#NAME?</v>
      </c>
      <c r="G250" s="2" t="e">
        <f ca="1">_xll.ESQuote("CHENNPETRO.EQ-NSE","Exchange")</f>
        <v>#NAME?</v>
      </c>
      <c r="H250" s="2" t="e">
        <f ca="1">_xll.ESQuote("CHENNPETRO.EQ-NSE","High")</f>
        <v>#NAME?</v>
      </c>
      <c r="I250" s="2" t="e">
        <f ca="1">_xll.ESQuote("CHENNPETRO.EQ-NSE","Last")</f>
        <v>#NAME?</v>
      </c>
      <c r="J250" s="4" t="e">
        <f ca="1">_xll.ESQuote("CHENNPETRO.EQ-NSE","Last_Time")</f>
        <v>#NAME?</v>
      </c>
      <c r="K250" s="2" t="e">
        <f ca="1">_xll.ESQuote("CHENNPETRO.EQ-NSE","Low")</f>
        <v>#NAME?</v>
      </c>
      <c r="L250" s="2" t="e">
        <f ca="1">_xll.ESQuote("CHENNPETRO.EQ-NSE","Open")</f>
        <v>#NAME?</v>
      </c>
      <c r="M250" s="2" t="e">
        <f ca="1">_xll.ESQuote("CHENNPETRO.EQ-NSE","PrevPrice")</f>
        <v>#NAME?</v>
      </c>
      <c r="N250" s="2" t="e">
        <f ca="1">_xll.ESQuote("CHENNPETRO.EQ-NSE","Symbol")</f>
        <v>#NAME?</v>
      </c>
      <c r="O250" s="2" t="e">
        <f ca="1">_xll.ESQuote("CHENNPETRO.EQ-NSE","Volume")</f>
        <v>#NAME?</v>
      </c>
    </row>
    <row r="251" spans="1:15" x14ac:dyDescent="0.25">
      <c r="A251" s="1" t="s">
        <v>263</v>
      </c>
      <c r="B251" s="2" t="e">
        <f ca="1">_xll.ESQuote("CHOLAFIN.EQ-NSE","% Change")</f>
        <v>#NAME?</v>
      </c>
      <c r="C251" s="2" t="e">
        <f ca="1">_xll.ESQuote("CHOLAFIN.EQ-NSE","Change")</f>
        <v>#NAME?</v>
      </c>
      <c r="D251" s="2" t="e">
        <f ca="1">_xll.ESQuote("CHOLAFIN.EQ-NSE","Close")</f>
        <v>#NAME?</v>
      </c>
      <c r="E251" s="2" t="e">
        <f ca="1">_xll.ESQuote("CHOLAFIN.EQ-NSE","Company")</f>
        <v>#NAME?</v>
      </c>
      <c r="F251" s="2" t="e">
        <f ca="1">_xll.ESQuote("CHOLAFIN.EQ-NSE","Description")</f>
        <v>#NAME?</v>
      </c>
      <c r="G251" s="2" t="e">
        <f ca="1">_xll.ESQuote("CHOLAFIN.EQ-NSE","Exchange")</f>
        <v>#NAME?</v>
      </c>
      <c r="H251" s="2" t="e">
        <f ca="1">_xll.ESQuote("CHOLAFIN.EQ-NSE","High")</f>
        <v>#NAME?</v>
      </c>
      <c r="I251" s="2" t="e">
        <f ca="1">_xll.ESQuote("CHOLAFIN.EQ-NSE","Last")</f>
        <v>#NAME?</v>
      </c>
      <c r="J251" s="4" t="e">
        <f ca="1">_xll.ESQuote("CHOLAFIN.EQ-NSE","Last_Time")</f>
        <v>#NAME?</v>
      </c>
      <c r="K251" s="2" t="e">
        <f ca="1">_xll.ESQuote("CHOLAFIN.EQ-NSE","Low")</f>
        <v>#NAME?</v>
      </c>
      <c r="L251" s="2" t="e">
        <f ca="1">_xll.ESQuote("CHOLAFIN.EQ-NSE","Open")</f>
        <v>#NAME?</v>
      </c>
      <c r="M251" s="2" t="e">
        <f ca="1">_xll.ESQuote("CHOLAFIN.EQ-NSE","PrevPrice")</f>
        <v>#NAME?</v>
      </c>
      <c r="N251" s="2" t="e">
        <f ca="1">_xll.ESQuote("CHOLAFIN.EQ-NSE","Symbol")</f>
        <v>#NAME?</v>
      </c>
      <c r="O251" s="2" t="e">
        <f ca="1">_xll.ESQuote("CHOLAFIN.EQ-NSE","Volume")</f>
        <v>#NAME?</v>
      </c>
    </row>
    <row r="252" spans="1:15" x14ac:dyDescent="0.25">
      <c r="A252" s="1" t="s">
        <v>264</v>
      </c>
      <c r="B252" s="2" t="e">
        <f ca="1">_xll.ESQuote("CHROMATIC.EQ-NSE","% Change")</f>
        <v>#NAME?</v>
      </c>
      <c r="C252" s="2" t="e">
        <f ca="1">_xll.ESQuote("CHROMATIC.EQ-NSE","Change")</f>
        <v>#NAME?</v>
      </c>
      <c r="D252" s="2" t="e">
        <f ca="1">_xll.ESQuote("CHROMATIC.EQ-NSE","Close")</f>
        <v>#NAME?</v>
      </c>
      <c r="E252" s="2" t="e">
        <f ca="1">_xll.ESQuote("CHROMATIC.EQ-NSE","Company")</f>
        <v>#NAME?</v>
      </c>
      <c r="F252" s="2" t="e">
        <f ca="1">_xll.ESQuote("CHROMATIC.EQ-NSE","Description")</f>
        <v>#NAME?</v>
      </c>
      <c r="G252" s="2" t="e">
        <f ca="1">_xll.ESQuote("CHROMATIC.EQ-NSE","Exchange")</f>
        <v>#NAME?</v>
      </c>
      <c r="H252" s="2" t="e">
        <f ca="1">_xll.ESQuote("CHROMATIC.EQ-NSE","High")</f>
        <v>#NAME?</v>
      </c>
      <c r="I252" s="2" t="e">
        <f ca="1">_xll.ESQuote("CHROMATIC.EQ-NSE","Last")</f>
        <v>#NAME?</v>
      </c>
      <c r="J252" s="4" t="e">
        <f ca="1">_xll.ESQuote("CHROMATIC.EQ-NSE","Last_Time")</f>
        <v>#NAME?</v>
      </c>
      <c r="K252" s="2" t="e">
        <f ca="1">_xll.ESQuote("CHROMATIC.EQ-NSE","Low")</f>
        <v>#NAME?</v>
      </c>
      <c r="L252" s="2" t="e">
        <f ca="1">_xll.ESQuote("CHROMATIC.EQ-NSE","Open")</f>
        <v>#NAME?</v>
      </c>
      <c r="M252" s="2" t="e">
        <f ca="1">_xll.ESQuote("CHROMATIC.EQ-NSE","PrevPrice")</f>
        <v>#NAME?</v>
      </c>
      <c r="N252" s="2" t="e">
        <f ca="1">_xll.ESQuote("CHROMATIC.EQ-NSE","Symbol")</f>
        <v>#NAME?</v>
      </c>
      <c r="O252" s="2" t="e">
        <f ca="1">_xll.ESQuote("CHROMATIC.EQ-NSE","Volume")</f>
        <v>#NAME?</v>
      </c>
    </row>
    <row r="253" spans="1:15" x14ac:dyDescent="0.25">
      <c r="A253" s="1" t="s">
        <v>265</v>
      </c>
      <c r="B253" s="2" t="e">
        <f ca="1">_xll.ESQuote("CIGNITITEC.EQ-NSE","% Change")</f>
        <v>#NAME?</v>
      </c>
      <c r="C253" s="2" t="e">
        <f ca="1">_xll.ESQuote("CIGNITITEC.EQ-NSE","Change")</f>
        <v>#NAME?</v>
      </c>
      <c r="D253" s="2" t="e">
        <f ca="1">_xll.ESQuote("CIGNITITEC.EQ-NSE","Close")</f>
        <v>#NAME?</v>
      </c>
      <c r="E253" s="2" t="e">
        <f ca="1">_xll.ESQuote("CIGNITITEC.EQ-NSE","Company")</f>
        <v>#NAME?</v>
      </c>
      <c r="F253" s="2" t="e">
        <f ca="1">_xll.ESQuote("CIGNITITEC.EQ-NSE","Description")</f>
        <v>#NAME?</v>
      </c>
      <c r="G253" s="2" t="e">
        <f ca="1">_xll.ESQuote("CIGNITITEC.EQ-NSE","Exchange")</f>
        <v>#NAME?</v>
      </c>
      <c r="H253" s="2" t="e">
        <f ca="1">_xll.ESQuote("CIGNITITEC.EQ-NSE","High")</f>
        <v>#NAME?</v>
      </c>
      <c r="I253" s="2" t="e">
        <f ca="1">_xll.ESQuote("CIGNITITEC.EQ-NSE","Last")</f>
        <v>#NAME?</v>
      </c>
      <c r="J253" s="4" t="e">
        <f ca="1">_xll.ESQuote("CIGNITITEC.EQ-NSE","Last_Time")</f>
        <v>#NAME?</v>
      </c>
      <c r="K253" s="2" t="e">
        <f ca="1">_xll.ESQuote("CIGNITITEC.EQ-NSE","Low")</f>
        <v>#NAME?</v>
      </c>
      <c r="L253" s="2" t="e">
        <f ca="1">_xll.ESQuote("CIGNITITEC.EQ-NSE","Open")</f>
        <v>#NAME?</v>
      </c>
      <c r="M253" s="2" t="e">
        <f ca="1">_xll.ESQuote("CIGNITITEC.EQ-NSE","PrevPrice")</f>
        <v>#NAME?</v>
      </c>
      <c r="N253" s="2" t="e">
        <f ca="1">_xll.ESQuote("CIGNITITEC.EQ-NSE","Symbol")</f>
        <v>#NAME?</v>
      </c>
      <c r="O253" s="2" t="e">
        <f ca="1">_xll.ESQuote("CIGNITITEC.EQ-NSE","Volume")</f>
        <v>#NAME?</v>
      </c>
    </row>
    <row r="254" spans="1:15" x14ac:dyDescent="0.25">
      <c r="A254" s="1" t="s">
        <v>266</v>
      </c>
      <c r="B254" s="2" t="e">
        <f ca="1">_xll.ESQuote("CIMMCO.EQ-NSE","% Change")</f>
        <v>#NAME?</v>
      </c>
      <c r="C254" s="2" t="e">
        <f ca="1">_xll.ESQuote("CIMMCO.EQ-NSE","Change")</f>
        <v>#NAME?</v>
      </c>
      <c r="D254" s="2" t="e">
        <f ca="1">_xll.ESQuote("CIMMCO.EQ-NSE","Close")</f>
        <v>#NAME?</v>
      </c>
      <c r="E254" s="2" t="e">
        <f ca="1">_xll.ESQuote("CIMMCO.EQ-NSE","Company")</f>
        <v>#NAME?</v>
      </c>
      <c r="F254" s="2" t="e">
        <f ca="1">_xll.ESQuote("CIMMCO.EQ-NSE","Description")</f>
        <v>#NAME?</v>
      </c>
      <c r="G254" s="2" t="e">
        <f ca="1">_xll.ESQuote("CIMMCO.EQ-NSE","Exchange")</f>
        <v>#NAME?</v>
      </c>
      <c r="H254" s="2" t="e">
        <f ca="1">_xll.ESQuote("CIMMCO.EQ-NSE","High")</f>
        <v>#NAME?</v>
      </c>
      <c r="I254" s="2" t="e">
        <f ca="1">_xll.ESQuote("CIMMCO.EQ-NSE","Last")</f>
        <v>#NAME?</v>
      </c>
      <c r="J254" s="4" t="e">
        <f ca="1">_xll.ESQuote("CIMMCO.EQ-NSE","Last_Time")</f>
        <v>#NAME?</v>
      </c>
      <c r="K254" s="2" t="e">
        <f ca="1">_xll.ESQuote("CIMMCO.EQ-NSE","Low")</f>
        <v>#NAME?</v>
      </c>
      <c r="L254" s="2" t="e">
        <f ca="1">_xll.ESQuote("CIMMCO.EQ-NSE","Open")</f>
        <v>#NAME?</v>
      </c>
      <c r="M254" s="2" t="e">
        <f ca="1">_xll.ESQuote("CIMMCO.EQ-NSE","PrevPrice")</f>
        <v>#NAME?</v>
      </c>
      <c r="N254" s="2" t="e">
        <f ca="1">_xll.ESQuote("CIMMCO.EQ-NSE","Symbol")</f>
        <v>#NAME?</v>
      </c>
      <c r="O254" s="2" t="e">
        <f ca="1">_xll.ESQuote("CIMMCO.EQ-NSE","Volume")</f>
        <v>#NAME?</v>
      </c>
    </row>
    <row r="255" spans="1:15" x14ac:dyDescent="0.25">
      <c r="A255" s="1" t="s">
        <v>267</v>
      </c>
      <c r="B255" s="2" t="e">
        <f ca="1">_xll.ESQuote("CINELINE.EQ-NSE","% Change")</f>
        <v>#NAME?</v>
      </c>
      <c r="C255" s="2" t="e">
        <f ca="1">_xll.ESQuote("CINELINE.EQ-NSE","Change")</f>
        <v>#NAME?</v>
      </c>
      <c r="D255" s="2" t="e">
        <f ca="1">_xll.ESQuote("CINELINE.EQ-NSE","Close")</f>
        <v>#NAME?</v>
      </c>
      <c r="E255" s="2" t="e">
        <f ca="1">_xll.ESQuote("CINELINE.EQ-NSE","Company")</f>
        <v>#NAME?</v>
      </c>
      <c r="F255" s="2" t="e">
        <f ca="1">_xll.ESQuote("CINELINE.EQ-NSE","Description")</f>
        <v>#NAME?</v>
      </c>
      <c r="G255" s="2" t="e">
        <f ca="1">_xll.ESQuote("CINELINE.EQ-NSE","Exchange")</f>
        <v>#NAME?</v>
      </c>
      <c r="H255" s="2" t="e">
        <f ca="1">_xll.ESQuote("CINELINE.EQ-NSE","High")</f>
        <v>#NAME?</v>
      </c>
      <c r="I255" s="2" t="e">
        <f ca="1">_xll.ESQuote("CINELINE.EQ-NSE","Last")</f>
        <v>#NAME?</v>
      </c>
      <c r="J255" s="4" t="e">
        <f ca="1">_xll.ESQuote("CINELINE.EQ-NSE","Last_Time")</f>
        <v>#NAME?</v>
      </c>
      <c r="K255" s="2" t="e">
        <f ca="1">_xll.ESQuote("CINELINE.EQ-NSE","Low")</f>
        <v>#NAME?</v>
      </c>
      <c r="L255" s="2" t="e">
        <f ca="1">_xll.ESQuote("CINELINE.EQ-NSE","Open")</f>
        <v>#NAME?</v>
      </c>
      <c r="M255" s="2" t="e">
        <f ca="1">_xll.ESQuote("CINELINE.EQ-NSE","PrevPrice")</f>
        <v>#NAME?</v>
      </c>
      <c r="N255" s="2" t="e">
        <f ca="1">_xll.ESQuote("CINELINE.EQ-NSE","Symbol")</f>
        <v>#NAME?</v>
      </c>
      <c r="O255" s="2" t="e">
        <f ca="1">_xll.ESQuote("CINELINE.EQ-NSE","Volume")</f>
        <v>#NAME?</v>
      </c>
    </row>
    <row r="256" spans="1:15" x14ac:dyDescent="0.25">
      <c r="A256" s="1" t="s">
        <v>268</v>
      </c>
      <c r="B256" s="2" t="e">
        <f ca="1">_xll.ESQuote("CINEVISTA.EQ-NSE","% Change")</f>
        <v>#NAME?</v>
      </c>
      <c r="C256" s="2" t="e">
        <f ca="1">_xll.ESQuote("CINEVISTA.EQ-NSE","Change")</f>
        <v>#NAME?</v>
      </c>
      <c r="D256" s="2" t="e">
        <f ca="1">_xll.ESQuote("CINEVISTA.EQ-NSE","Close")</f>
        <v>#NAME?</v>
      </c>
      <c r="E256" s="2" t="e">
        <f ca="1">_xll.ESQuote("CINEVISTA.EQ-NSE","Company")</f>
        <v>#NAME?</v>
      </c>
      <c r="F256" s="2" t="e">
        <f ca="1">_xll.ESQuote("CINEVISTA.EQ-NSE","Description")</f>
        <v>#NAME?</v>
      </c>
      <c r="G256" s="2" t="e">
        <f ca="1">_xll.ESQuote("CINEVISTA.EQ-NSE","Exchange")</f>
        <v>#NAME?</v>
      </c>
      <c r="H256" s="2" t="e">
        <f ca="1">_xll.ESQuote("CINEVISTA.EQ-NSE","High")</f>
        <v>#NAME?</v>
      </c>
      <c r="I256" s="2" t="e">
        <f ca="1">_xll.ESQuote("CINEVISTA.EQ-NSE","Last")</f>
        <v>#NAME?</v>
      </c>
      <c r="J256" s="4" t="e">
        <f ca="1">_xll.ESQuote("CINEVISTA.EQ-NSE","Last_Time")</f>
        <v>#NAME?</v>
      </c>
      <c r="K256" s="2" t="e">
        <f ca="1">_xll.ESQuote("CINEVISTA.EQ-NSE","Low")</f>
        <v>#NAME?</v>
      </c>
      <c r="L256" s="2" t="e">
        <f ca="1">_xll.ESQuote("CINEVISTA.EQ-NSE","Open")</f>
        <v>#NAME?</v>
      </c>
      <c r="M256" s="2" t="e">
        <f ca="1">_xll.ESQuote("CINEVISTA.EQ-NSE","PrevPrice")</f>
        <v>#NAME?</v>
      </c>
      <c r="N256" s="2" t="e">
        <f ca="1">_xll.ESQuote("CINEVISTA.EQ-NSE","Symbol")</f>
        <v>#NAME?</v>
      </c>
      <c r="O256" s="2" t="e">
        <f ca="1">_xll.ESQuote("CINEVISTA.EQ-NSE","Volume")</f>
        <v>#NAME?</v>
      </c>
    </row>
    <row r="257" spans="1:15" x14ac:dyDescent="0.25">
      <c r="A257" s="1" t="s">
        <v>269</v>
      </c>
      <c r="B257" s="2" t="e">
        <f ca="1">_xll.ESQuote("CIPLA.EQ-NSE","% Change")</f>
        <v>#NAME?</v>
      </c>
      <c r="C257" s="2" t="e">
        <f ca="1">_xll.ESQuote("CIPLA.EQ-NSE","Change")</f>
        <v>#NAME?</v>
      </c>
      <c r="D257" s="2" t="e">
        <f ca="1">_xll.ESQuote("CIPLA.EQ-NSE","Close")</f>
        <v>#NAME?</v>
      </c>
      <c r="E257" s="2" t="e">
        <f ca="1">_xll.ESQuote("CIPLA.EQ-NSE","Company")</f>
        <v>#NAME?</v>
      </c>
      <c r="F257" s="2" t="e">
        <f ca="1">_xll.ESQuote("CIPLA.EQ-NSE","Description")</f>
        <v>#NAME?</v>
      </c>
      <c r="G257" s="2" t="e">
        <f ca="1">_xll.ESQuote("CIPLA.EQ-NSE","Exchange")</f>
        <v>#NAME?</v>
      </c>
      <c r="H257" s="2" t="e">
        <f ca="1">_xll.ESQuote("CIPLA.EQ-NSE","High")</f>
        <v>#NAME?</v>
      </c>
      <c r="I257" s="2" t="e">
        <f ca="1">_xll.ESQuote("CIPLA.EQ-NSE","Last")</f>
        <v>#NAME?</v>
      </c>
      <c r="J257" s="4" t="e">
        <f ca="1">_xll.ESQuote("CIPLA.EQ-NSE","Last_Time")</f>
        <v>#NAME?</v>
      </c>
      <c r="K257" s="2" t="e">
        <f ca="1">_xll.ESQuote("CIPLA.EQ-NSE","Low")</f>
        <v>#NAME?</v>
      </c>
      <c r="L257" s="2" t="e">
        <f ca="1">_xll.ESQuote("CIPLA.EQ-NSE","Open")</f>
        <v>#NAME?</v>
      </c>
      <c r="M257" s="2" t="e">
        <f ca="1">_xll.ESQuote("CIPLA.EQ-NSE","PrevPrice")</f>
        <v>#NAME?</v>
      </c>
      <c r="N257" s="2" t="e">
        <f ca="1">_xll.ESQuote("CIPLA.EQ-NSE","Symbol")</f>
        <v>#NAME?</v>
      </c>
      <c r="O257" s="2" t="e">
        <f ca="1">_xll.ESQuote("CIPLA.EQ-NSE","Volume")</f>
        <v>#NAME?</v>
      </c>
    </row>
    <row r="258" spans="1:15" x14ac:dyDescent="0.25">
      <c r="A258" s="1" t="s">
        <v>270</v>
      </c>
      <c r="B258" s="2" t="e">
        <f ca="1">_xll.ESQuote("CLASSIC.EQ-NSE","% Change")</f>
        <v>#NAME?</v>
      </c>
      <c r="C258" s="2" t="e">
        <f ca="1">_xll.ESQuote("CLASSIC.EQ-NSE","Change")</f>
        <v>#NAME?</v>
      </c>
      <c r="D258" s="2" t="e">
        <f ca="1">_xll.ESQuote("CLASSIC.EQ-NSE","Close")</f>
        <v>#NAME?</v>
      </c>
      <c r="E258" s="2" t="e">
        <f ca="1">_xll.ESQuote("CLASSIC.EQ-NSE","Company")</f>
        <v>#NAME?</v>
      </c>
      <c r="F258" s="2" t="e">
        <f ca="1">_xll.ESQuote("CLASSIC.EQ-NSE","Description")</f>
        <v>#NAME?</v>
      </c>
      <c r="G258" s="2" t="e">
        <f ca="1">_xll.ESQuote("CLASSIC.EQ-NSE","Exchange")</f>
        <v>#NAME?</v>
      </c>
      <c r="H258" s="2" t="e">
        <f ca="1">_xll.ESQuote("CLASSIC.EQ-NSE","High")</f>
        <v>#NAME?</v>
      </c>
      <c r="I258" s="2" t="e">
        <f ca="1">_xll.ESQuote("CLASSIC.EQ-NSE","Last")</f>
        <v>#NAME?</v>
      </c>
      <c r="J258" s="4" t="e">
        <f ca="1">_xll.ESQuote("CLASSIC.EQ-NSE","Last_Time")</f>
        <v>#NAME?</v>
      </c>
      <c r="K258" s="2" t="e">
        <f ca="1">_xll.ESQuote("CLASSIC.EQ-NSE","Low")</f>
        <v>#NAME?</v>
      </c>
      <c r="L258" s="2" t="e">
        <f ca="1">_xll.ESQuote("CLASSIC.EQ-NSE","Open")</f>
        <v>#NAME?</v>
      </c>
      <c r="M258" s="2" t="e">
        <f ca="1">_xll.ESQuote("CLASSIC.EQ-NSE","PrevPrice")</f>
        <v>#NAME?</v>
      </c>
      <c r="N258" s="2" t="e">
        <f ca="1">_xll.ESQuote("CLASSIC.EQ-NSE","Symbol")</f>
        <v>#NAME?</v>
      </c>
      <c r="O258" s="2" t="e">
        <f ca="1">_xll.ESQuote("CLASSIC.EQ-NSE","Volume")</f>
        <v>#NAME?</v>
      </c>
    </row>
    <row r="259" spans="1:15" x14ac:dyDescent="0.25">
      <c r="A259" s="1" t="s">
        <v>271</v>
      </c>
      <c r="B259" s="2" t="e">
        <f ca="1">_xll.ESQuote("CLNINDIA.EQ-NSE","% Change")</f>
        <v>#NAME?</v>
      </c>
      <c r="C259" s="2" t="e">
        <f ca="1">_xll.ESQuote("CLNINDIA.EQ-NSE","Change")</f>
        <v>#NAME?</v>
      </c>
      <c r="D259" s="2" t="e">
        <f ca="1">_xll.ESQuote("CLNINDIA.EQ-NSE","Close")</f>
        <v>#NAME?</v>
      </c>
      <c r="E259" s="2" t="e">
        <f ca="1">_xll.ESQuote("CLNINDIA.EQ-NSE","Company")</f>
        <v>#NAME?</v>
      </c>
      <c r="F259" s="2" t="e">
        <f ca="1">_xll.ESQuote("CLNINDIA.EQ-NSE","Description")</f>
        <v>#NAME?</v>
      </c>
      <c r="G259" s="2" t="e">
        <f ca="1">_xll.ESQuote("CLNINDIA.EQ-NSE","Exchange")</f>
        <v>#NAME?</v>
      </c>
      <c r="H259" s="2" t="e">
        <f ca="1">_xll.ESQuote("CLNINDIA.EQ-NSE","High")</f>
        <v>#NAME?</v>
      </c>
      <c r="I259" s="2" t="e">
        <f ca="1">_xll.ESQuote("CLNINDIA.EQ-NSE","Last")</f>
        <v>#NAME?</v>
      </c>
      <c r="J259" s="4" t="e">
        <f ca="1">_xll.ESQuote("CLNINDIA.EQ-NSE","Last_Time")</f>
        <v>#NAME?</v>
      </c>
      <c r="K259" s="2" t="e">
        <f ca="1">_xll.ESQuote("CLNINDIA.EQ-NSE","Low")</f>
        <v>#NAME?</v>
      </c>
      <c r="L259" s="2" t="e">
        <f ca="1">_xll.ESQuote("CLNINDIA.EQ-NSE","Open")</f>
        <v>#NAME?</v>
      </c>
      <c r="M259" s="2" t="e">
        <f ca="1">_xll.ESQuote("CLNINDIA.EQ-NSE","PrevPrice")</f>
        <v>#NAME?</v>
      </c>
      <c r="N259" s="2" t="e">
        <f ca="1">_xll.ESQuote("CLNINDIA.EQ-NSE","Symbol")</f>
        <v>#NAME?</v>
      </c>
      <c r="O259" s="2" t="e">
        <f ca="1">_xll.ESQuote("CLNINDIA.EQ-NSE","Volume")</f>
        <v>#NAME?</v>
      </c>
    </row>
    <row r="260" spans="1:15" x14ac:dyDescent="0.25">
      <c r="A260" s="1" t="s">
        <v>272</v>
      </c>
      <c r="B260" s="2" t="e">
        <f ca="1">_xll.ESQuote("CLUTCHAUTO.EQ-NSE","% Change")</f>
        <v>#NAME?</v>
      </c>
      <c r="C260" s="2" t="e">
        <f ca="1">_xll.ESQuote("CLUTCHAUTO.EQ-NSE","Change")</f>
        <v>#NAME?</v>
      </c>
      <c r="D260" s="2" t="e">
        <f ca="1">_xll.ESQuote("CLUTCHAUTO.EQ-NSE","Close")</f>
        <v>#NAME?</v>
      </c>
      <c r="E260" s="2" t="e">
        <f ca="1">_xll.ESQuote("CLUTCHAUTO.EQ-NSE","Company")</f>
        <v>#NAME?</v>
      </c>
      <c r="F260" s="2" t="e">
        <f ca="1">_xll.ESQuote("CLUTCHAUTO.EQ-NSE","Description")</f>
        <v>#NAME?</v>
      </c>
      <c r="G260" s="2" t="e">
        <f ca="1">_xll.ESQuote("CLUTCHAUTO.EQ-NSE","Exchange")</f>
        <v>#NAME?</v>
      </c>
      <c r="H260" s="2" t="e">
        <f ca="1">_xll.ESQuote("CLUTCHAUTO.EQ-NSE","High")</f>
        <v>#NAME?</v>
      </c>
      <c r="I260" s="2" t="e">
        <f ca="1">_xll.ESQuote("CLUTCHAUTO.EQ-NSE","Last")</f>
        <v>#NAME?</v>
      </c>
      <c r="J260" s="4" t="e">
        <f ca="1">_xll.ESQuote("CLUTCHAUTO.EQ-NSE","Last_Time")</f>
        <v>#NAME?</v>
      </c>
      <c r="K260" s="2" t="e">
        <f ca="1">_xll.ESQuote("CLUTCHAUTO.EQ-NSE","Low")</f>
        <v>#NAME?</v>
      </c>
      <c r="L260" s="2" t="e">
        <f ca="1">_xll.ESQuote("CLUTCHAUTO.EQ-NSE","Open")</f>
        <v>#NAME?</v>
      </c>
      <c r="M260" s="2" t="e">
        <f ca="1">_xll.ESQuote("CLUTCHAUTO.EQ-NSE","PrevPrice")</f>
        <v>#NAME?</v>
      </c>
      <c r="N260" s="2" t="e">
        <f ca="1">_xll.ESQuote("CLUTCHAUTO.EQ-NSE","Symbol")</f>
        <v>#NAME?</v>
      </c>
      <c r="O260" s="2" t="e">
        <f ca="1">_xll.ESQuote("CLUTCHAUTO.EQ-NSE","Volume")</f>
        <v>#NAME?</v>
      </c>
    </row>
    <row r="261" spans="1:15" x14ac:dyDescent="0.25">
      <c r="A261" s="1" t="s">
        <v>273</v>
      </c>
      <c r="B261" s="2" t="e">
        <f ca="1">_xll.ESQuote("CMAHENDRA.EQ-NSE","% Change")</f>
        <v>#NAME?</v>
      </c>
      <c r="C261" s="2" t="e">
        <f ca="1">_xll.ESQuote("CMAHENDRA.EQ-NSE","Change")</f>
        <v>#NAME?</v>
      </c>
      <c r="D261" s="2" t="e">
        <f ca="1">_xll.ESQuote("CMAHENDRA.EQ-NSE","Close")</f>
        <v>#NAME?</v>
      </c>
      <c r="E261" s="2" t="e">
        <f ca="1">_xll.ESQuote("CMAHENDRA.EQ-NSE","Company")</f>
        <v>#NAME?</v>
      </c>
      <c r="F261" s="2" t="e">
        <f ca="1">_xll.ESQuote("CMAHENDRA.EQ-NSE","Description")</f>
        <v>#NAME?</v>
      </c>
      <c r="G261" s="2" t="e">
        <f ca="1">_xll.ESQuote("CMAHENDRA.EQ-NSE","Exchange")</f>
        <v>#NAME?</v>
      </c>
      <c r="H261" s="2" t="e">
        <f ca="1">_xll.ESQuote("CMAHENDRA.EQ-NSE","High")</f>
        <v>#NAME?</v>
      </c>
      <c r="I261" s="2" t="e">
        <f ca="1">_xll.ESQuote("CMAHENDRA.EQ-NSE","Last")</f>
        <v>#NAME?</v>
      </c>
      <c r="J261" s="4" t="e">
        <f ca="1">_xll.ESQuote("CMAHENDRA.EQ-NSE","Last_Time")</f>
        <v>#NAME?</v>
      </c>
      <c r="K261" s="2" t="e">
        <f ca="1">_xll.ESQuote("CMAHENDRA.EQ-NSE","Low")</f>
        <v>#NAME?</v>
      </c>
      <c r="L261" s="2" t="e">
        <f ca="1">_xll.ESQuote("CMAHENDRA.EQ-NSE","Open")</f>
        <v>#NAME?</v>
      </c>
      <c r="M261" s="2" t="e">
        <f ca="1">_xll.ESQuote("CMAHENDRA.EQ-NSE","PrevPrice")</f>
        <v>#NAME?</v>
      </c>
      <c r="N261" s="2" t="e">
        <f ca="1">_xll.ESQuote("CMAHENDRA.EQ-NSE","Symbol")</f>
        <v>#NAME?</v>
      </c>
      <c r="O261" s="2" t="e">
        <f ca="1">_xll.ESQuote("CMAHENDRA.EQ-NSE","Volume")</f>
        <v>#NAME?</v>
      </c>
    </row>
    <row r="262" spans="1:15" x14ac:dyDescent="0.25">
      <c r="A262" s="1" t="s">
        <v>274</v>
      </c>
      <c r="B262" s="2" t="e">
        <f ca="1">_xll.ESQuote("CMC.EQ-NSE","% Change")</f>
        <v>#NAME?</v>
      </c>
      <c r="C262" s="2" t="e">
        <f ca="1">_xll.ESQuote("CMC.EQ-NSE","Change")</f>
        <v>#NAME?</v>
      </c>
      <c r="D262" s="2" t="e">
        <f ca="1">_xll.ESQuote("CMC.EQ-NSE","Close")</f>
        <v>#NAME?</v>
      </c>
      <c r="E262" s="2" t="e">
        <f ca="1">_xll.ESQuote("CMC.EQ-NSE","Company")</f>
        <v>#NAME?</v>
      </c>
      <c r="F262" s="2" t="e">
        <f ca="1">_xll.ESQuote("CMC.EQ-NSE","Description")</f>
        <v>#NAME?</v>
      </c>
      <c r="G262" s="2" t="e">
        <f ca="1">_xll.ESQuote("CMC.EQ-NSE","Exchange")</f>
        <v>#NAME?</v>
      </c>
      <c r="H262" s="2" t="e">
        <f ca="1">_xll.ESQuote("CMC.EQ-NSE","High")</f>
        <v>#NAME?</v>
      </c>
      <c r="I262" s="2" t="e">
        <f ca="1">_xll.ESQuote("CMC.EQ-NSE","Last")</f>
        <v>#NAME?</v>
      </c>
      <c r="J262" s="4" t="e">
        <f ca="1">_xll.ESQuote("CMC.EQ-NSE","Last_Time")</f>
        <v>#NAME?</v>
      </c>
      <c r="K262" s="2" t="e">
        <f ca="1">_xll.ESQuote("CMC.EQ-NSE","Low")</f>
        <v>#NAME?</v>
      </c>
      <c r="L262" s="2" t="e">
        <f ca="1">_xll.ESQuote("CMC.EQ-NSE","Open")</f>
        <v>#NAME?</v>
      </c>
      <c r="M262" s="2" t="e">
        <f ca="1">_xll.ESQuote("CMC.EQ-NSE","PrevPrice")</f>
        <v>#NAME?</v>
      </c>
      <c r="N262" s="2" t="e">
        <f ca="1">_xll.ESQuote("CMC.EQ-NSE","Symbol")</f>
        <v>#NAME?</v>
      </c>
      <c r="O262" s="2" t="e">
        <f ca="1">_xll.ESQuote("CMC.EQ-NSE","Volume")</f>
        <v>#NAME?</v>
      </c>
    </row>
    <row r="263" spans="1:15" x14ac:dyDescent="0.25">
      <c r="A263" s="1" t="s">
        <v>275</v>
      </c>
      <c r="B263" s="2" t="e">
        <f ca="1">_xll.ESQuote("CNOVAPETRO.EQ-NSE","% Change")</f>
        <v>#NAME?</v>
      </c>
      <c r="C263" s="2" t="e">
        <f ca="1">_xll.ESQuote("CNOVAPETRO.EQ-NSE","Change")</f>
        <v>#NAME?</v>
      </c>
      <c r="D263" s="2" t="e">
        <f ca="1">_xll.ESQuote("CNOVAPETRO.EQ-NSE","Close")</f>
        <v>#NAME?</v>
      </c>
      <c r="E263" s="2" t="e">
        <f ca="1">_xll.ESQuote("CNOVAPETRO.EQ-NSE","Company")</f>
        <v>#NAME?</v>
      </c>
      <c r="F263" s="2" t="e">
        <f ca="1">_xll.ESQuote("CNOVAPETRO.EQ-NSE","Description")</f>
        <v>#NAME?</v>
      </c>
      <c r="G263" s="2" t="e">
        <f ca="1">_xll.ESQuote("CNOVAPETRO.EQ-NSE","Exchange")</f>
        <v>#NAME?</v>
      </c>
      <c r="H263" s="2" t="e">
        <f ca="1">_xll.ESQuote("CNOVAPETRO.EQ-NSE","High")</f>
        <v>#NAME?</v>
      </c>
      <c r="I263" s="2" t="e">
        <f ca="1">_xll.ESQuote("CNOVAPETRO.EQ-NSE","Last")</f>
        <v>#NAME?</v>
      </c>
      <c r="J263" s="4" t="e">
        <f ca="1">_xll.ESQuote("CNOVAPETRO.EQ-NSE","Last_Time")</f>
        <v>#NAME?</v>
      </c>
      <c r="K263" s="2" t="e">
        <f ca="1">_xll.ESQuote("CNOVAPETRO.EQ-NSE","Low")</f>
        <v>#NAME?</v>
      </c>
      <c r="L263" s="2" t="e">
        <f ca="1">_xll.ESQuote("CNOVAPETRO.EQ-NSE","Open")</f>
        <v>#NAME?</v>
      </c>
      <c r="M263" s="2" t="e">
        <f ca="1">_xll.ESQuote("CNOVAPETRO.EQ-NSE","PrevPrice")</f>
        <v>#NAME?</v>
      </c>
      <c r="N263" s="2" t="e">
        <f ca="1">_xll.ESQuote("CNOVAPETRO.EQ-NSE","Symbol")</f>
        <v>#NAME?</v>
      </c>
      <c r="O263" s="2" t="e">
        <f ca="1">_xll.ESQuote("CNOVAPETRO.EQ-NSE","Volume")</f>
        <v>#NAME?</v>
      </c>
    </row>
    <row r="264" spans="1:15" x14ac:dyDescent="0.25">
      <c r="A264" s="1" t="s">
        <v>276</v>
      </c>
      <c r="B264" s="2" t="e">
        <f ca="1">_xll.ESQuote("COALINDIA.EQ-NSE","% Change")</f>
        <v>#NAME?</v>
      </c>
      <c r="C264" s="2" t="e">
        <f ca="1">_xll.ESQuote("COALINDIA.EQ-NSE","Change")</f>
        <v>#NAME?</v>
      </c>
      <c r="D264" s="2" t="e">
        <f ca="1">_xll.ESQuote("COALINDIA.EQ-NSE","Close")</f>
        <v>#NAME?</v>
      </c>
      <c r="E264" s="2" t="e">
        <f ca="1">_xll.ESQuote("COALINDIA.EQ-NSE","Company")</f>
        <v>#NAME?</v>
      </c>
      <c r="F264" s="2" t="e">
        <f ca="1">_xll.ESQuote("COALINDIA.EQ-NSE","Description")</f>
        <v>#NAME?</v>
      </c>
      <c r="G264" s="2" t="e">
        <f ca="1">_xll.ESQuote("COALINDIA.EQ-NSE","Exchange")</f>
        <v>#NAME?</v>
      </c>
      <c r="H264" s="2" t="e">
        <f ca="1">_xll.ESQuote("COALINDIA.EQ-NSE","High")</f>
        <v>#NAME?</v>
      </c>
      <c r="I264" s="2" t="e">
        <f ca="1">_xll.ESQuote("COALINDIA.EQ-NSE","Last")</f>
        <v>#NAME?</v>
      </c>
      <c r="J264" s="4" t="e">
        <f ca="1">_xll.ESQuote("COALINDIA.EQ-NSE","Last_Time")</f>
        <v>#NAME?</v>
      </c>
      <c r="K264" s="2" t="e">
        <f ca="1">_xll.ESQuote("COALINDIA.EQ-NSE","Low")</f>
        <v>#NAME?</v>
      </c>
      <c r="L264" s="2" t="e">
        <f ca="1">_xll.ESQuote("COALINDIA.EQ-NSE","Open")</f>
        <v>#NAME?</v>
      </c>
      <c r="M264" s="2" t="e">
        <f ca="1">_xll.ESQuote("COALINDIA.EQ-NSE","PrevPrice")</f>
        <v>#NAME?</v>
      </c>
      <c r="N264" s="2" t="e">
        <f ca="1">_xll.ESQuote("COALINDIA.EQ-NSE","Symbol")</f>
        <v>#NAME?</v>
      </c>
      <c r="O264" s="2" t="e">
        <f ca="1">_xll.ESQuote("COALINDIA.EQ-NSE","Volume")</f>
        <v>#NAME?</v>
      </c>
    </row>
    <row r="265" spans="1:15" x14ac:dyDescent="0.25">
      <c r="A265" s="1" t="s">
        <v>277</v>
      </c>
      <c r="B265" s="2" t="e">
        <f ca="1">_xll.ESQuote("COLPAL.EQ-NSE","% Change")</f>
        <v>#NAME?</v>
      </c>
      <c r="C265" s="2" t="e">
        <f ca="1">_xll.ESQuote("COLPAL.EQ-NSE","Change")</f>
        <v>#NAME?</v>
      </c>
      <c r="D265" s="2" t="e">
        <f ca="1">_xll.ESQuote("COLPAL.EQ-NSE","Close")</f>
        <v>#NAME?</v>
      </c>
      <c r="E265" s="2" t="e">
        <f ca="1">_xll.ESQuote("COLPAL.EQ-NSE","Company")</f>
        <v>#NAME?</v>
      </c>
      <c r="F265" s="2" t="e">
        <f ca="1">_xll.ESQuote("COLPAL.EQ-NSE","Description")</f>
        <v>#NAME?</v>
      </c>
      <c r="G265" s="2" t="e">
        <f ca="1">_xll.ESQuote("COLPAL.EQ-NSE","Exchange")</f>
        <v>#NAME?</v>
      </c>
      <c r="H265" s="2" t="e">
        <f ca="1">_xll.ESQuote("COLPAL.EQ-NSE","High")</f>
        <v>#NAME?</v>
      </c>
      <c r="I265" s="2" t="e">
        <f ca="1">_xll.ESQuote("COLPAL.EQ-NSE","Last")</f>
        <v>#NAME?</v>
      </c>
      <c r="J265" s="4" t="e">
        <f ca="1">_xll.ESQuote("COLPAL.EQ-NSE","Last_Time")</f>
        <v>#NAME?</v>
      </c>
      <c r="K265" s="2" t="e">
        <f ca="1">_xll.ESQuote("COLPAL.EQ-NSE","Low")</f>
        <v>#NAME?</v>
      </c>
      <c r="L265" s="2" t="e">
        <f ca="1">_xll.ESQuote("COLPAL.EQ-NSE","Open")</f>
        <v>#NAME?</v>
      </c>
      <c r="M265" s="2" t="e">
        <f ca="1">_xll.ESQuote("COLPAL.EQ-NSE","PrevPrice")</f>
        <v>#NAME?</v>
      </c>
      <c r="N265" s="2" t="e">
        <f ca="1">_xll.ESQuote("COLPAL.EQ-NSE","Symbol")</f>
        <v>#NAME?</v>
      </c>
      <c r="O265" s="2" t="e">
        <f ca="1">_xll.ESQuote("COLPAL.EQ-NSE","Volume")</f>
        <v>#NAME?</v>
      </c>
    </row>
    <row r="266" spans="1:15" x14ac:dyDescent="0.25">
      <c r="A266" s="1" t="s">
        <v>278</v>
      </c>
      <c r="B266" s="2" t="e">
        <f ca="1">_xll.ESQuote("COMPUSOFT.EQ-NSE","% Change")</f>
        <v>#NAME?</v>
      </c>
      <c r="C266" s="2" t="e">
        <f ca="1">_xll.ESQuote("COMPUSOFT.EQ-NSE","Change")</f>
        <v>#NAME?</v>
      </c>
      <c r="D266" s="2" t="e">
        <f ca="1">_xll.ESQuote("COMPUSOFT.EQ-NSE","Close")</f>
        <v>#NAME?</v>
      </c>
      <c r="E266" s="2" t="e">
        <f ca="1">_xll.ESQuote("COMPUSOFT.EQ-NSE","Company")</f>
        <v>#NAME?</v>
      </c>
      <c r="F266" s="2" t="e">
        <f ca="1">_xll.ESQuote("COMPUSOFT.EQ-NSE","Description")</f>
        <v>#NAME?</v>
      </c>
      <c r="G266" s="2" t="e">
        <f ca="1">_xll.ESQuote("COMPUSOFT.EQ-NSE","Exchange")</f>
        <v>#NAME?</v>
      </c>
      <c r="H266" s="2" t="e">
        <f ca="1">_xll.ESQuote("COMPUSOFT.EQ-NSE","High")</f>
        <v>#NAME?</v>
      </c>
      <c r="I266" s="2" t="e">
        <f ca="1">_xll.ESQuote("COMPUSOFT.EQ-NSE","Last")</f>
        <v>#NAME?</v>
      </c>
      <c r="J266" s="4" t="e">
        <f ca="1">_xll.ESQuote("COMPUSOFT.EQ-NSE","Last_Time")</f>
        <v>#NAME?</v>
      </c>
      <c r="K266" s="2" t="e">
        <f ca="1">_xll.ESQuote("COMPUSOFT.EQ-NSE","Low")</f>
        <v>#NAME?</v>
      </c>
      <c r="L266" s="2" t="e">
        <f ca="1">_xll.ESQuote("COMPUSOFT.EQ-NSE","Open")</f>
        <v>#NAME?</v>
      </c>
      <c r="M266" s="2" t="e">
        <f ca="1">_xll.ESQuote("COMPUSOFT.EQ-NSE","PrevPrice")</f>
        <v>#NAME?</v>
      </c>
      <c r="N266" s="2" t="e">
        <f ca="1">_xll.ESQuote("COMPUSOFT.EQ-NSE","Symbol")</f>
        <v>#NAME?</v>
      </c>
      <c r="O266" s="2" t="e">
        <f ca="1">_xll.ESQuote("COMPUSOFT.EQ-NSE","Volume")</f>
        <v>#NAME?</v>
      </c>
    </row>
    <row r="267" spans="1:15" x14ac:dyDescent="0.25">
      <c r="A267" s="1" t="s">
        <v>279</v>
      </c>
      <c r="B267" s="2" t="e">
        <f ca="1">_xll.ESQuote("CONCOR.EQ-NSE","% Change")</f>
        <v>#NAME?</v>
      </c>
      <c r="C267" s="2" t="e">
        <f ca="1">_xll.ESQuote("CONCOR.EQ-NSE","Change")</f>
        <v>#NAME?</v>
      </c>
      <c r="D267" s="2" t="e">
        <f ca="1">_xll.ESQuote("CONCOR.EQ-NSE","Close")</f>
        <v>#NAME?</v>
      </c>
      <c r="E267" s="2" t="e">
        <f ca="1">_xll.ESQuote("CONCOR.EQ-NSE","Company")</f>
        <v>#NAME?</v>
      </c>
      <c r="F267" s="2" t="e">
        <f ca="1">_xll.ESQuote("CONCOR.EQ-NSE","Description")</f>
        <v>#NAME?</v>
      </c>
      <c r="G267" s="2" t="e">
        <f ca="1">_xll.ESQuote("CONCOR.EQ-NSE","Exchange")</f>
        <v>#NAME?</v>
      </c>
      <c r="H267" s="2" t="e">
        <f ca="1">_xll.ESQuote("CONCOR.EQ-NSE","High")</f>
        <v>#NAME?</v>
      </c>
      <c r="I267" s="2" t="e">
        <f ca="1">_xll.ESQuote("CONCOR.EQ-NSE","Last")</f>
        <v>#NAME?</v>
      </c>
      <c r="J267" s="4" t="e">
        <f ca="1">_xll.ESQuote("CONCOR.EQ-NSE","Last_Time")</f>
        <v>#NAME?</v>
      </c>
      <c r="K267" s="2" t="e">
        <f ca="1">_xll.ESQuote("CONCOR.EQ-NSE","Low")</f>
        <v>#NAME?</v>
      </c>
      <c r="L267" s="2" t="e">
        <f ca="1">_xll.ESQuote("CONCOR.EQ-NSE","Open")</f>
        <v>#NAME?</v>
      </c>
      <c r="M267" s="2" t="e">
        <f ca="1">_xll.ESQuote("CONCOR.EQ-NSE","PrevPrice")</f>
        <v>#NAME?</v>
      </c>
      <c r="N267" s="2" t="e">
        <f ca="1">_xll.ESQuote("CONCOR.EQ-NSE","Symbol")</f>
        <v>#NAME?</v>
      </c>
      <c r="O267" s="2" t="e">
        <f ca="1">_xll.ESQuote("CONCOR.EQ-NSE","Volume")</f>
        <v>#NAME?</v>
      </c>
    </row>
    <row r="268" spans="1:15" x14ac:dyDescent="0.25">
      <c r="A268" s="1" t="s">
        <v>280</v>
      </c>
      <c r="B268" s="2" t="e">
        <f ca="1">_xll.ESQuote("CONSOFINVT.EQ-NSE","% Change")</f>
        <v>#NAME?</v>
      </c>
      <c r="C268" s="2" t="e">
        <f ca="1">_xll.ESQuote("CONSOFINVT.EQ-NSE","Change")</f>
        <v>#NAME?</v>
      </c>
      <c r="D268" s="2" t="e">
        <f ca="1">_xll.ESQuote("CONSOFINVT.EQ-NSE","Close")</f>
        <v>#NAME?</v>
      </c>
      <c r="E268" s="2" t="e">
        <f ca="1">_xll.ESQuote("CONSOFINVT.EQ-NSE","Company")</f>
        <v>#NAME?</v>
      </c>
      <c r="F268" s="2" t="e">
        <f ca="1">_xll.ESQuote("CONSOFINVT.EQ-NSE","Description")</f>
        <v>#NAME?</v>
      </c>
      <c r="G268" s="2" t="e">
        <f ca="1">_xll.ESQuote("CONSOFINVT.EQ-NSE","Exchange")</f>
        <v>#NAME?</v>
      </c>
      <c r="H268" s="2" t="e">
        <f ca="1">_xll.ESQuote("CONSOFINVT.EQ-NSE","High")</f>
        <v>#NAME?</v>
      </c>
      <c r="I268" s="2" t="e">
        <f ca="1">_xll.ESQuote("CONSOFINVT.EQ-NSE","Last")</f>
        <v>#NAME?</v>
      </c>
      <c r="J268" s="4" t="e">
        <f ca="1">_xll.ESQuote("CONSOFINVT.EQ-NSE","Last_Time")</f>
        <v>#NAME?</v>
      </c>
      <c r="K268" s="2" t="e">
        <f ca="1">_xll.ESQuote("CONSOFINVT.EQ-NSE","Low")</f>
        <v>#NAME?</v>
      </c>
      <c r="L268" s="2" t="e">
        <f ca="1">_xll.ESQuote("CONSOFINVT.EQ-NSE","Open")</f>
        <v>#NAME?</v>
      </c>
      <c r="M268" s="2" t="e">
        <f ca="1">_xll.ESQuote("CONSOFINVT.EQ-NSE","PrevPrice")</f>
        <v>#NAME?</v>
      </c>
      <c r="N268" s="2" t="e">
        <f ca="1">_xll.ESQuote("CONSOFINVT.EQ-NSE","Symbol")</f>
        <v>#NAME?</v>
      </c>
      <c r="O268" s="2" t="e">
        <f ca="1">_xll.ESQuote("CONSOFINVT.EQ-NSE","Volume")</f>
        <v>#NAME?</v>
      </c>
    </row>
    <row r="269" spans="1:15" x14ac:dyDescent="0.25">
      <c r="A269" s="1" t="s">
        <v>281</v>
      </c>
      <c r="B269" s="2" t="e">
        <f ca="1">_xll.ESQuote("CORDSCABLE.EQ-NSE","% Change")</f>
        <v>#NAME?</v>
      </c>
      <c r="C269" s="2" t="e">
        <f ca="1">_xll.ESQuote("CORDSCABLE.EQ-NSE","Change")</f>
        <v>#NAME?</v>
      </c>
      <c r="D269" s="2" t="e">
        <f ca="1">_xll.ESQuote("CORDSCABLE.EQ-NSE","Close")</f>
        <v>#NAME?</v>
      </c>
      <c r="E269" s="2" t="e">
        <f ca="1">_xll.ESQuote("CORDSCABLE.EQ-NSE","Company")</f>
        <v>#NAME?</v>
      </c>
      <c r="F269" s="2" t="e">
        <f ca="1">_xll.ESQuote("CORDSCABLE.EQ-NSE","Description")</f>
        <v>#NAME?</v>
      </c>
      <c r="G269" s="2" t="e">
        <f ca="1">_xll.ESQuote("CORDSCABLE.EQ-NSE","Exchange")</f>
        <v>#NAME?</v>
      </c>
      <c r="H269" s="2" t="e">
        <f ca="1">_xll.ESQuote("CORDSCABLE.EQ-NSE","High")</f>
        <v>#NAME?</v>
      </c>
      <c r="I269" s="2" t="e">
        <f ca="1">_xll.ESQuote("CORDSCABLE.EQ-NSE","Last")</f>
        <v>#NAME?</v>
      </c>
      <c r="J269" s="4" t="e">
        <f ca="1">_xll.ESQuote("CORDSCABLE.EQ-NSE","Last_Time")</f>
        <v>#NAME?</v>
      </c>
      <c r="K269" s="2" t="e">
        <f ca="1">_xll.ESQuote("CORDSCABLE.EQ-NSE","Low")</f>
        <v>#NAME?</v>
      </c>
      <c r="L269" s="2" t="e">
        <f ca="1">_xll.ESQuote("CORDSCABLE.EQ-NSE","Open")</f>
        <v>#NAME?</v>
      </c>
      <c r="M269" s="2" t="e">
        <f ca="1">_xll.ESQuote("CORDSCABLE.EQ-NSE","PrevPrice")</f>
        <v>#NAME?</v>
      </c>
      <c r="N269" s="2" t="e">
        <f ca="1">_xll.ESQuote("CORDSCABLE.EQ-NSE","Symbol")</f>
        <v>#NAME?</v>
      </c>
      <c r="O269" s="2" t="e">
        <f ca="1">_xll.ESQuote("CORDSCABLE.EQ-NSE","Volume")</f>
        <v>#NAME?</v>
      </c>
    </row>
    <row r="270" spans="1:15" x14ac:dyDescent="0.25">
      <c r="A270" s="1" t="s">
        <v>282</v>
      </c>
      <c r="B270" s="2" t="e">
        <f ca="1">_xll.ESQuote("COREEDUTEC.EQ-NSE","% Change")</f>
        <v>#NAME?</v>
      </c>
      <c r="C270" s="2" t="e">
        <f ca="1">_xll.ESQuote("COREEDUTEC.EQ-NSE","Change")</f>
        <v>#NAME?</v>
      </c>
      <c r="D270" s="2" t="e">
        <f ca="1">_xll.ESQuote("COREEDUTEC.EQ-NSE","Close")</f>
        <v>#NAME?</v>
      </c>
      <c r="E270" s="2" t="e">
        <f ca="1">_xll.ESQuote("COREEDUTEC.EQ-NSE","Company")</f>
        <v>#NAME?</v>
      </c>
      <c r="F270" s="2" t="e">
        <f ca="1">_xll.ESQuote("COREEDUTEC.EQ-NSE","Description")</f>
        <v>#NAME?</v>
      </c>
      <c r="G270" s="2" t="e">
        <f ca="1">_xll.ESQuote("COREEDUTEC.EQ-NSE","Exchange")</f>
        <v>#NAME?</v>
      </c>
      <c r="H270" s="2" t="e">
        <f ca="1">_xll.ESQuote("COREEDUTEC.EQ-NSE","High")</f>
        <v>#NAME?</v>
      </c>
      <c r="I270" s="2" t="e">
        <f ca="1">_xll.ESQuote("COREEDUTEC.EQ-NSE","Last")</f>
        <v>#NAME?</v>
      </c>
      <c r="J270" s="4" t="e">
        <f ca="1">_xll.ESQuote("COREEDUTEC.EQ-NSE","Last_Time")</f>
        <v>#NAME?</v>
      </c>
      <c r="K270" s="2" t="e">
        <f ca="1">_xll.ESQuote("COREEDUTEC.EQ-NSE","Low")</f>
        <v>#NAME?</v>
      </c>
      <c r="L270" s="2" t="e">
        <f ca="1">_xll.ESQuote("COREEDUTEC.EQ-NSE","Open")</f>
        <v>#NAME?</v>
      </c>
      <c r="M270" s="2" t="e">
        <f ca="1">_xll.ESQuote("COREEDUTEC.EQ-NSE","PrevPrice")</f>
        <v>#NAME?</v>
      </c>
      <c r="N270" s="2" t="e">
        <f ca="1">_xll.ESQuote("COREEDUTEC.EQ-NSE","Symbol")</f>
        <v>#NAME?</v>
      </c>
      <c r="O270" s="2" t="e">
        <f ca="1">_xll.ESQuote("COREEDUTEC.EQ-NSE","Volume")</f>
        <v>#NAME?</v>
      </c>
    </row>
    <row r="271" spans="1:15" x14ac:dyDescent="0.25">
      <c r="A271" s="1" t="s">
        <v>283</v>
      </c>
      <c r="B271" s="2" t="e">
        <f ca="1">_xll.ESQuote("COROMANDEL.EQ-NSE","% Change")</f>
        <v>#NAME?</v>
      </c>
      <c r="C271" s="2" t="e">
        <f ca="1">_xll.ESQuote("COROMANDEL.EQ-NSE","Change")</f>
        <v>#NAME?</v>
      </c>
      <c r="D271" s="2" t="e">
        <f ca="1">_xll.ESQuote("COROMANDEL.EQ-NSE","Close")</f>
        <v>#NAME?</v>
      </c>
      <c r="E271" s="2" t="e">
        <f ca="1">_xll.ESQuote("COROMANDEL.EQ-NSE","Company")</f>
        <v>#NAME?</v>
      </c>
      <c r="F271" s="2" t="e">
        <f ca="1">_xll.ESQuote("COROMANDEL.EQ-NSE","Description")</f>
        <v>#NAME?</v>
      </c>
      <c r="G271" s="2" t="e">
        <f ca="1">_xll.ESQuote("COROMANDEL.EQ-NSE","Exchange")</f>
        <v>#NAME?</v>
      </c>
      <c r="H271" s="2" t="e">
        <f ca="1">_xll.ESQuote("COROMANDEL.EQ-NSE","High")</f>
        <v>#NAME?</v>
      </c>
      <c r="I271" s="2" t="e">
        <f ca="1">_xll.ESQuote("COROMANDEL.EQ-NSE","Last")</f>
        <v>#NAME?</v>
      </c>
      <c r="J271" s="4" t="e">
        <f ca="1">_xll.ESQuote("COROMANDEL.EQ-NSE","Last_Time")</f>
        <v>#NAME?</v>
      </c>
      <c r="K271" s="2" t="e">
        <f ca="1">_xll.ESQuote("COROMANDEL.EQ-NSE","Low")</f>
        <v>#NAME?</v>
      </c>
      <c r="L271" s="2" t="e">
        <f ca="1">_xll.ESQuote("COROMANDEL.EQ-NSE","Open")</f>
        <v>#NAME?</v>
      </c>
      <c r="M271" s="2" t="e">
        <f ca="1">_xll.ESQuote("COROMANDEL.EQ-NSE","PrevPrice")</f>
        <v>#NAME?</v>
      </c>
      <c r="N271" s="2" t="e">
        <f ca="1">_xll.ESQuote("COROMANDEL.EQ-NSE","Symbol")</f>
        <v>#NAME?</v>
      </c>
      <c r="O271" s="2" t="e">
        <f ca="1">_xll.ESQuote("COROMANDEL.EQ-NSE","Volume")</f>
        <v>#NAME?</v>
      </c>
    </row>
    <row r="272" spans="1:15" x14ac:dyDescent="0.25">
      <c r="A272" s="1" t="s">
        <v>284</v>
      </c>
      <c r="B272" s="2" t="e">
        <f ca="1">_xll.ESQuote("CORPBANK.EQ-NSE","% Change")</f>
        <v>#NAME?</v>
      </c>
      <c r="C272" s="2" t="e">
        <f ca="1">_xll.ESQuote("CORPBANK.EQ-NSE","Change")</f>
        <v>#NAME?</v>
      </c>
      <c r="D272" s="2" t="e">
        <f ca="1">_xll.ESQuote("CORPBANK.EQ-NSE","Close")</f>
        <v>#NAME?</v>
      </c>
      <c r="E272" s="2" t="e">
        <f ca="1">_xll.ESQuote("CORPBANK.EQ-NSE","Company")</f>
        <v>#NAME?</v>
      </c>
      <c r="F272" s="2" t="e">
        <f ca="1">_xll.ESQuote("CORPBANK.EQ-NSE","Description")</f>
        <v>#NAME?</v>
      </c>
      <c r="G272" s="2" t="e">
        <f ca="1">_xll.ESQuote("CORPBANK.EQ-NSE","Exchange")</f>
        <v>#NAME?</v>
      </c>
      <c r="H272" s="2" t="e">
        <f ca="1">_xll.ESQuote("CORPBANK.EQ-NSE","High")</f>
        <v>#NAME?</v>
      </c>
      <c r="I272" s="2" t="e">
        <f ca="1">_xll.ESQuote("CORPBANK.EQ-NSE","Last")</f>
        <v>#NAME?</v>
      </c>
      <c r="J272" s="4" t="e">
        <f ca="1">_xll.ESQuote("CORPBANK.EQ-NSE","Last_Time")</f>
        <v>#NAME?</v>
      </c>
      <c r="K272" s="2" t="e">
        <f ca="1">_xll.ESQuote("CORPBANK.EQ-NSE","Low")</f>
        <v>#NAME?</v>
      </c>
      <c r="L272" s="2" t="e">
        <f ca="1">_xll.ESQuote("CORPBANK.EQ-NSE","Open")</f>
        <v>#NAME?</v>
      </c>
      <c r="M272" s="2" t="e">
        <f ca="1">_xll.ESQuote("CORPBANK.EQ-NSE","PrevPrice")</f>
        <v>#NAME?</v>
      </c>
      <c r="N272" s="2" t="e">
        <f ca="1">_xll.ESQuote("CORPBANK.EQ-NSE","Symbol")</f>
        <v>#NAME?</v>
      </c>
      <c r="O272" s="2" t="e">
        <f ca="1">_xll.ESQuote("CORPBANK.EQ-NSE","Volume")</f>
        <v>#NAME?</v>
      </c>
    </row>
    <row r="273" spans="1:15" x14ac:dyDescent="0.25">
      <c r="A273" s="1" t="s">
        <v>285</v>
      </c>
      <c r="B273" s="2" t="e">
        <f ca="1">_xll.ESQuote("COSMOFILMS.EQ-NSE","% Change")</f>
        <v>#NAME?</v>
      </c>
      <c r="C273" s="2" t="e">
        <f ca="1">_xll.ESQuote("COSMOFILMS.EQ-NSE","Change")</f>
        <v>#NAME?</v>
      </c>
      <c r="D273" s="2" t="e">
        <f ca="1">_xll.ESQuote("COSMOFILMS.EQ-NSE","Close")</f>
        <v>#NAME?</v>
      </c>
      <c r="E273" s="2" t="e">
        <f ca="1">_xll.ESQuote("COSMOFILMS.EQ-NSE","Company")</f>
        <v>#NAME?</v>
      </c>
      <c r="F273" s="2" t="e">
        <f ca="1">_xll.ESQuote("COSMOFILMS.EQ-NSE","Description")</f>
        <v>#NAME?</v>
      </c>
      <c r="G273" s="2" t="e">
        <f ca="1">_xll.ESQuote("COSMOFILMS.EQ-NSE","Exchange")</f>
        <v>#NAME?</v>
      </c>
      <c r="H273" s="2" t="e">
        <f ca="1">_xll.ESQuote("COSMOFILMS.EQ-NSE","High")</f>
        <v>#NAME?</v>
      </c>
      <c r="I273" s="2" t="e">
        <f ca="1">_xll.ESQuote("COSMOFILMS.EQ-NSE","Last")</f>
        <v>#NAME?</v>
      </c>
      <c r="J273" s="4" t="e">
        <f ca="1">_xll.ESQuote("COSMOFILMS.EQ-NSE","Last_Time")</f>
        <v>#NAME?</v>
      </c>
      <c r="K273" s="2" t="e">
        <f ca="1">_xll.ESQuote("COSMOFILMS.EQ-NSE","Low")</f>
        <v>#NAME?</v>
      </c>
      <c r="L273" s="2" t="e">
        <f ca="1">_xll.ESQuote("COSMOFILMS.EQ-NSE","Open")</f>
        <v>#NAME?</v>
      </c>
      <c r="M273" s="2" t="e">
        <f ca="1">_xll.ESQuote("COSMOFILMS.EQ-NSE","PrevPrice")</f>
        <v>#NAME?</v>
      </c>
      <c r="N273" s="2" t="e">
        <f ca="1">_xll.ESQuote("COSMOFILMS.EQ-NSE","Symbol")</f>
        <v>#NAME?</v>
      </c>
      <c r="O273" s="2" t="e">
        <f ca="1">_xll.ESQuote("COSMOFILMS.EQ-NSE","Volume")</f>
        <v>#NAME?</v>
      </c>
    </row>
    <row r="274" spans="1:15" x14ac:dyDescent="0.25">
      <c r="A274" s="1" t="s">
        <v>286</v>
      </c>
      <c r="B274" s="2" t="e">
        <f ca="1">_xll.ESQuote("COUNCODOS.EQ-NSE","% Change")</f>
        <v>#NAME?</v>
      </c>
      <c r="C274" s="2" t="e">
        <f ca="1">_xll.ESQuote("COUNCODOS.EQ-NSE","Change")</f>
        <v>#NAME?</v>
      </c>
      <c r="D274" s="2" t="e">
        <f ca="1">_xll.ESQuote("COUNCODOS.EQ-NSE","Close")</f>
        <v>#NAME?</v>
      </c>
      <c r="E274" s="2" t="e">
        <f ca="1">_xll.ESQuote("COUNCODOS.EQ-NSE","Company")</f>
        <v>#NAME?</v>
      </c>
      <c r="F274" s="2" t="e">
        <f ca="1">_xll.ESQuote("COUNCODOS.EQ-NSE","Description")</f>
        <v>#NAME?</v>
      </c>
      <c r="G274" s="2" t="e">
        <f ca="1">_xll.ESQuote("COUNCODOS.EQ-NSE","Exchange")</f>
        <v>#NAME?</v>
      </c>
      <c r="H274" s="2" t="e">
        <f ca="1">_xll.ESQuote("COUNCODOS.EQ-NSE","High")</f>
        <v>#NAME?</v>
      </c>
      <c r="I274" s="2" t="e">
        <f ca="1">_xll.ESQuote("COUNCODOS.EQ-NSE","Last")</f>
        <v>#NAME?</v>
      </c>
      <c r="J274" s="4" t="e">
        <f ca="1">_xll.ESQuote("COUNCODOS.EQ-NSE","Last_Time")</f>
        <v>#NAME?</v>
      </c>
      <c r="K274" s="2" t="e">
        <f ca="1">_xll.ESQuote("COUNCODOS.EQ-NSE","Low")</f>
        <v>#NAME?</v>
      </c>
      <c r="L274" s="2" t="e">
        <f ca="1">_xll.ESQuote("COUNCODOS.EQ-NSE","Open")</f>
        <v>#NAME?</v>
      </c>
      <c r="M274" s="2" t="e">
        <f ca="1">_xll.ESQuote("COUNCODOS.EQ-NSE","PrevPrice")</f>
        <v>#NAME?</v>
      </c>
      <c r="N274" s="2" t="e">
        <f ca="1">_xll.ESQuote("COUNCODOS.EQ-NSE","Symbol")</f>
        <v>#NAME?</v>
      </c>
      <c r="O274" s="2" t="e">
        <f ca="1">_xll.ESQuote("COUNCODOS.EQ-NSE","Volume")</f>
        <v>#NAME?</v>
      </c>
    </row>
    <row r="275" spans="1:15" x14ac:dyDescent="0.25">
      <c r="A275" s="1" t="s">
        <v>287</v>
      </c>
      <c r="B275" s="2" t="e">
        <f ca="1">_xll.ESQuote("COX&amp;KINGS.EQ-NSE","% Change")</f>
        <v>#NAME?</v>
      </c>
      <c r="C275" s="2" t="e">
        <f ca="1">_xll.ESQuote("COX&amp;KINGS.EQ-NSE","Change")</f>
        <v>#NAME?</v>
      </c>
      <c r="D275" s="2" t="e">
        <f ca="1">_xll.ESQuote("COX&amp;KINGS.EQ-NSE","Close")</f>
        <v>#NAME?</v>
      </c>
      <c r="E275" s="2" t="e">
        <f ca="1">_xll.ESQuote("COX&amp;KINGS.EQ-NSE","Company")</f>
        <v>#NAME?</v>
      </c>
      <c r="F275" s="2" t="e">
        <f ca="1">_xll.ESQuote("COX&amp;KINGS.EQ-NSE","Description")</f>
        <v>#NAME?</v>
      </c>
      <c r="G275" s="2" t="e">
        <f ca="1">_xll.ESQuote("COX&amp;KINGS.EQ-NSE","Exchange")</f>
        <v>#NAME?</v>
      </c>
      <c r="H275" s="2" t="e">
        <f ca="1">_xll.ESQuote("COX&amp;KINGS.EQ-NSE","High")</f>
        <v>#NAME?</v>
      </c>
      <c r="I275" s="2" t="e">
        <f ca="1">_xll.ESQuote("COX&amp;KINGS.EQ-NSE","Last")</f>
        <v>#NAME?</v>
      </c>
      <c r="J275" s="4" t="e">
        <f ca="1">_xll.ESQuote("COX&amp;KINGS.EQ-NSE","Last_Time")</f>
        <v>#NAME?</v>
      </c>
      <c r="K275" s="2" t="e">
        <f ca="1">_xll.ESQuote("COX&amp;KINGS.EQ-NSE","Low")</f>
        <v>#NAME?</v>
      </c>
      <c r="L275" s="2" t="e">
        <f ca="1">_xll.ESQuote("COX&amp;KINGS.EQ-NSE","Open")</f>
        <v>#NAME?</v>
      </c>
      <c r="M275" s="2" t="e">
        <f ca="1">_xll.ESQuote("COX&amp;KINGS.EQ-NSE","PrevPrice")</f>
        <v>#NAME?</v>
      </c>
      <c r="N275" s="2" t="e">
        <f ca="1">_xll.ESQuote("COX&amp;KINGS.EQ-NSE","Symbol")</f>
        <v>#NAME?</v>
      </c>
      <c r="O275" s="2" t="e">
        <f ca="1">_xll.ESQuote("COX&amp;KINGS.EQ-NSE","Volume")</f>
        <v>#NAME?</v>
      </c>
    </row>
    <row r="276" spans="1:15" x14ac:dyDescent="0.25">
      <c r="A276" s="1" t="s">
        <v>288</v>
      </c>
      <c r="B276" s="2" t="e">
        <f ca="1">_xll.ESQuote("CREATIVEYE.EQ-NSE","% Change")</f>
        <v>#NAME?</v>
      </c>
      <c r="C276" s="2" t="e">
        <f ca="1">_xll.ESQuote("CREATIVEYE.EQ-NSE","Change")</f>
        <v>#NAME?</v>
      </c>
      <c r="D276" s="2" t="e">
        <f ca="1">_xll.ESQuote("CREATIVEYE.EQ-NSE","Close")</f>
        <v>#NAME?</v>
      </c>
      <c r="E276" s="2" t="e">
        <f ca="1">_xll.ESQuote("CREATIVEYE.EQ-NSE","Company")</f>
        <v>#NAME?</v>
      </c>
      <c r="F276" s="2" t="e">
        <f ca="1">_xll.ESQuote("CREATIVEYE.EQ-NSE","Description")</f>
        <v>#NAME?</v>
      </c>
      <c r="G276" s="2" t="e">
        <f ca="1">_xll.ESQuote("CREATIVEYE.EQ-NSE","Exchange")</f>
        <v>#NAME?</v>
      </c>
      <c r="H276" s="2" t="e">
        <f ca="1">_xll.ESQuote("CREATIVEYE.EQ-NSE","High")</f>
        <v>#NAME?</v>
      </c>
      <c r="I276" s="2" t="e">
        <f ca="1">_xll.ESQuote("CREATIVEYE.EQ-NSE","Last")</f>
        <v>#NAME?</v>
      </c>
      <c r="J276" s="4" t="e">
        <f ca="1">_xll.ESQuote("CREATIVEYE.EQ-NSE","Last_Time")</f>
        <v>#NAME?</v>
      </c>
      <c r="K276" s="2" t="e">
        <f ca="1">_xll.ESQuote("CREATIVEYE.EQ-NSE","Low")</f>
        <v>#NAME?</v>
      </c>
      <c r="L276" s="2" t="e">
        <f ca="1">_xll.ESQuote("CREATIVEYE.EQ-NSE","Open")</f>
        <v>#NAME?</v>
      </c>
      <c r="M276" s="2" t="e">
        <f ca="1">_xll.ESQuote("CREATIVEYE.EQ-NSE","PrevPrice")</f>
        <v>#NAME?</v>
      </c>
      <c r="N276" s="2" t="e">
        <f ca="1">_xll.ESQuote("CREATIVEYE.EQ-NSE","Symbol")</f>
        <v>#NAME?</v>
      </c>
      <c r="O276" s="2" t="e">
        <f ca="1">_xll.ESQuote("CREATIVEYE.EQ-NSE","Volume")</f>
        <v>#NAME?</v>
      </c>
    </row>
    <row r="277" spans="1:15" x14ac:dyDescent="0.25">
      <c r="A277" s="1" t="s">
        <v>289</v>
      </c>
      <c r="B277" s="2" t="e">
        <f ca="1">_xll.ESQuote("CREST.EQ-NSE","% Change")</f>
        <v>#NAME?</v>
      </c>
      <c r="C277" s="2" t="e">
        <f ca="1">_xll.ESQuote("CREST.EQ-NSE","Change")</f>
        <v>#NAME?</v>
      </c>
      <c r="D277" s="2" t="e">
        <f ca="1">_xll.ESQuote("CREST.EQ-NSE","Close")</f>
        <v>#NAME?</v>
      </c>
      <c r="E277" s="2" t="e">
        <f ca="1">_xll.ESQuote("CREST.EQ-NSE","Company")</f>
        <v>#NAME?</v>
      </c>
      <c r="F277" s="2" t="e">
        <f ca="1">_xll.ESQuote("CREST.EQ-NSE","Description")</f>
        <v>#NAME?</v>
      </c>
      <c r="G277" s="2" t="e">
        <f ca="1">_xll.ESQuote("CREST.EQ-NSE","Exchange")</f>
        <v>#NAME?</v>
      </c>
      <c r="H277" s="2" t="e">
        <f ca="1">_xll.ESQuote("CREST.EQ-NSE","High")</f>
        <v>#NAME?</v>
      </c>
      <c r="I277" s="2" t="e">
        <f ca="1">_xll.ESQuote("CREST.EQ-NSE","Last")</f>
        <v>#NAME?</v>
      </c>
      <c r="J277" s="4" t="e">
        <f ca="1">_xll.ESQuote("CREST.EQ-NSE","Last_Time")</f>
        <v>#NAME?</v>
      </c>
      <c r="K277" s="2" t="e">
        <f ca="1">_xll.ESQuote("CREST.EQ-NSE","Low")</f>
        <v>#NAME?</v>
      </c>
      <c r="L277" s="2" t="e">
        <f ca="1">_xll.ESQuote("CREST.EQ-NSE","Open")</f>
        <v>#NAME?</v>
      </c>
      <c r="M277" s="2" t="e">
        <f ca="1">_xll.ESQuote("CREST.EQ-NSE","PrevPrice")</f>
        <v>#NAME?</v>
      </c>
      <c r="N277" s="2" t="e">
        <f ca="1">_xll.ESQuote("CREST.EQ-NSE","Symbol")</f>
        <v>#NAME?</v>
      </c>
      <c r="O277" s="2" t="e">
        <f ca="1">_xll.ESQuote("CREST.EQ-NSE","Volume")</f>
        <v>#NAME?</v>
      </c>
    </row>
    <row r="278" spans="1:15" x14ac:dyDescent="0.25">
      <c r="A278" s="1" t="s">
        <v>290</v>
      </c>
      <c r="B278" s="2" t="e">
        <f ca="1">_xll.ESQuote("CRISIL.EQ-NSE","% Change")</f>
        <v>#NAME?</v>
      </c>
      <c r="C278" s="2" t="e">
        <f ca="1">_xll.ESQuote("CRISIL.EQ-NSE","Change")</f>
        <v>#NAME?</v>
      </c>
      <c r="D278" s="2" t="e">
        <f ca="1">_xll.ESQuote("CRISIL.EQ-NSE","Close")</f>
        <v>#NAME?</v>
      </c>
      <c r="E278" s="2" t="e">
        <f ca="1">_xll.ESQuote("CRISIL.EQ-NSE","Company")</f>
        <v>#NAME?</v>
      </c>
      <c r="F278" s="2" t="e">
        <f ca="1">_xll.ESQuote("CRISIL.EQ-NSE","Description")</f>
        <v>#NAME?</v>
      </c>
      <c r="G278" s="2" t="e">
        <f ca="1">_xll.ESQuote("CRISIL.EQ-NSE","Exchange")</f>
        <v>#NAME?</v>
      </c>
      <c r="H278" s="2" t="e">
        <f ca="1">_xll.ESQuote("CRISIL.EQ-NSE","High")</f>
        <v>#NAME?</v>
      </c>
      <c r="I278" s="2" t="e">
        <f ca="1">_xll.ESQuote("CRISIL.EQ-NSE","Last")</f>
        <v>#NAME?</v>
      </c>
      <c r="J278" s="4" t="e">
        <f ca="1">_xll.ESQuote("CRISIL.EQ-NSE","Last_Time")</f>
        <v>#NAME?</v>
      </c>
      <c r="K278" s="2" t="e">
        <f ca="1">_xll.ESQuote("CRISIL.EQ-NSE","Low")</f>
        <v>#NAME?</v>
      </c>
      <c r="L278" s="2" t="e">
        <f ca="1">_xll.ESQuote("CRISIL.EQ-NSE","Open")</f>
        <v>#NAME?</v>
      </c>
      <c r="M278" s="2" t="e">
        <f ca="1">_xll.ESQuote("CRISIL.EQ-NSE","PrevPrice")</f>
        <v>#NAME?</v>
      </c>
      <c r="N278" s="2" t="e">
        <f ca="1">_xll.ESQuote("CRISIL.EQ-NSE","Symbol")</f>
        <v>#NAME?</v>
      </c>
      <c r="O278" s="2" t="e">
        <f ca="1">_xll.ESQuote("CRISIL.EQ-NSE","Volume")</f>
        <v>#NAME?</v>
      </c>
    </row>
    <row r="279" spans="1:15" x14ac:dyDescent="0.25">
      <c r="A279" s="1" t="s">
        <v>291</v>
      </c>
      <c r="B279" s="2" t="e">
        <f ca="1">_xll.ESQuote("CROMPGREAV.EQ-NSE","% Change")</f>
        <v>#NAME?</v>
      </c>
      <c r="C279" s="2" t="e">
        <f ca="1">_xll.ESQuote("CROMPGREAV.EQ-NSE","Change")</f>
        <v>#NAME?</v>
      </c>
      <c r="D279" s="2" t="e">
        <f ca="1">_xll.ESQuote("CROMPGREAV.EQ-NSE","Close")</f>
        <v>#NAME?</v>
      </c>
      <c r="E279" s="2" t="e">
        <f ca="1">_xll.ESQuote("CROMPGREAV.EQ-NSE","Company")</f>
        <v>#NAME?</v>
      </c>
      <c r="F279" s="2" t="e">
        <f ca="1">_xll.ESQuote("CROMPGREAV.EQ-NSE","Description")</f>
        <v>#NAME?</v>
      </c>
      <c r="G279" s="2" t="e">
        <f ca="1">_xll.ESQuote("CROMPGREAV.EQ-NSE","Exchange")</f>
        <v>#NAME?</v>
      </c>
      <c r="H279" s="2" t="e">
        <f ca="1">_xll.ESQuote("CROMPGREAV.EQ-NSE","High")</f>
        <v>#NAME?</v>
      </c>
      <c r="I279" s="2" t="e">
        <f ca="1">_xll.ESQuote("CROMPGREAV.EQ-NSE","Last")</f>
        <v>#NAME?</v>
      </c>
      <c r="J279" s="4" t="e">
        <f ca="1">_xll.ESQuote("CROMPGREAV.EQ-NSE","Last_Time")</f>
        <v>#NAME?</v>
      </c>
      <c r="K279" s="2" t="e">
        <f ca="1">_xll.ESQuote("CROMPGREAV.EQ-NSE","Low")</f>
        <v>#NAME?</v>
      </c>
      <c r="L279" s="2" t="e">
        <f ca="1">_xll.ESQuote("CROMPGREAV.EQ-NSE","Open")</f>
        <v>#NAME?</v>
      </c>
      <c r="M279" s="2" t="e">
        <f ca="1">_xll.ESQuote("CROMPGREAV.EQ-NSE","PrevPrice")</f>
        <v>#NAME?</v>
      </c>
      <c r="N279" s="2" t="e">
        <f ca="1">_xll.ESQuote("CROMPGREAV.EQ-NSE","Symbol")</f>
        <v>#NAME?</v>
      </c>
      <c r="O279" s="2" t="e">
        <f ca="1">_xll.ESQuote("CROMPGREAV.EQ-NSE","Volume")</f>
        <v>#NAME?</v>
      </c>
    </row>
    <row r="280" spans="1:15" x14ac:dyDescent="0.25">
      <c r="A280" s="1" t="s">
        <v>292</v>
      </c>
      <c r="B280" s="2" t="e">
        <f ca="1">_xll.ESQuote("CTE.EQ-NSE","% Change")</f>
        <v>#NAME?</v>
      </c>
      <c r="C280" s="2" t="e">
        <f ca="1">_xll.ESQuote("CTE.EQ-NSE","Change")</f>
        <v>#NAME?</v>
      </c>
      <c r="D280" s="2" t="e">
        <f ca="1">_xll.ESQuote("CTE.EQ-NSE","Close")</f>
        <v>#NAME?</v>
      </c>
      <c r="E280" s="2" t="e">
        <f ca="1">_xll.ESQuote("CTE.EQ-NSE","Company")</f>
        <v>#NAME?</v>
      </c>
      <c r="F280" s="2" t="e">
        <f ca="1">_xll.ESQuote("CTE.EQ-NSE","Description")</f>
        <v>#NAME?</v>
      </c>
      <c r="G280" s="2" t="e">
        <f ca="1">_xll.ESQuote("CTE.EQ-NSE","Exchange")</f>
        <v>#NAME?</v>
      </c>
      <c r="H280" s="2" t="e">
        <f ca="1">_xll.ESQuote("CTE.EQ-NSE","High")</f>
        <v>#NAME?</v>
      </c>
      <c r="I280" s="2" t="e">
        <f ca="1">_xll.ESQuote("CTE.EQ-NSE","Last")</f>
        <v>#NAME?</v>
      </c>
      <c r="J280" s="4" t="e">
        <f ca="1">_xll.ESQuote("CTE.EQ-NSE","Last_Time")</f>
        <v>#NAME?</v>
      </c>
      <c r="K280" s="2" t="e">
        <f ca="1">_xll.ESQuote("CTE.EQ-NSE","Low")</f>
        <v>#NAME?</v>
      </c>
      <c r="L280" s="2" t="e">
        <f ca="1">_xll.ESQuote("CTE.EQ-NSE","Open")</f>
        <v>#NAME?</v>
      </c>
      <c r="M280" s="2" t="e">
        <f ca="1">_xll.ESQuote("CTE.EQ-NSE","PrevPrice")</f>
        <v>#NAME?</v>
      </c>
      <c r="N280" s="2" t="e">
        <f ca="1">_xll.ESQuote("CTE.EQ-NSE","Symbol")</f>
        <v>#NAME?</v>
      </c>
      <c r="O280" s="2" t="e">
        <f ca="1">_xll.ESQuote("CTE.EQ-NSE","Volume")</f>
        <v>#NAME?</v>
      </c>
    </row>
    <row r="281" spans="1:15" x14ac:dyDescent="0.25">
      <c r="A281" s="1" t="s">
        <v>293</v>
      </c>
      <c r="B281" s="2" t="e">
        <f ca="1">_xll.ESQuote("CUB.EQ-NSE","% Change")</f>
        <v>#NAME?</v>
      </c>
      <c r="C281" s="2" t="e">
        <f ca="1">_xll.ESQuote("CUB.EQ-NSE","Change")</f>
        <v>#NAME?</v>
      </c>
      <c r="D281" s="2" t="e">
        <f ca="1">_xll.ESQuote("CUB.EQ-NSE","Close")</f>
        <v>#NAME?</v>
      </c>
      <c r="E281" s="2" t="e">
        <f ca="1">_xll.ESQuote("CUB.EQ-NSE","Company")</f>
        <v>#NAME?</v>
      </c>
      <c r="F281" s="2" t="e">
        <f ca="1">_xll.ESQuote("CUB.EQ-NSE","Description")</f>
        <v>#NAME?</v>
      </c>
      <c r="G281" s="2" t="e">
        <f ca="1">_xll.ESQuote("CUB.EQ-NSE","Exchange")</f>
        <v>#NAME?</v>
      </c>
      <c r="H281" s="2" t="e">
        <f ca="1">_xll.ESQuote("CUB.EQ-NSE","High")</f>
        <v>#NAME?</v>
      </c>
      <c r="I281" s="2" t="e">
        <f ca="1">_xll.ESQuote("CUB.EQ-NSE","Last")</f>
        <v>#NAME?</v>
      </c>
      <c r="J281" s="4" t="e">
        <f ca="1">_xll.ESQuote("CUB.EQ-NSE","Last_Time")</f>
        <v>#NAME?</v>
      </c>
      <c r="K281" s="2" t="e">
        <f ca="1">_xll.ESQuote("CUB.EQ-NSE","Low")</f>
        <v>#NAME?</v>
      </c>
      <c r="L281" s="2" t="e">
        <f ca="1">_xll.ESQuote("CUB.EQ-NSE","Open")</f>
        <v>#NAME?</v>
      </c>
      <c r="M281" s="2" t="e">
        <f ca="1">_xll.ESQuote("CUB.EQ-NSE","PrevPrice")</f>
        <v>#NAME?</v>
      </c>
      <c r="N281" s="2" t="e">
        <f ca="1">_xll.ESQuote("CUB.EQ-NSE","Symbol")</f>
        <v>#NAME?</v>
      </c>
      <c r="O281" s="2" t="e">
        <f ca="1">_xll.ESQuote("CUB.EQ-NSE","Volume")</f>
        <v>#NAME?</v>
      </c>
    </row>
    <row r="282" spans="1:15" x14ac:dyDescent="0.25">
      <c r="A282" s="1" t="s">
        <v>294</v>
      </c>
      <c r="B282" s="2" t="e">
        <f ca="1">_xll.ESQuote("CUBEXTUB.EQ-NSE","% Change")</f>
        <v>#NAME?</v>
      </c>
      <c r="C282" s="2" t="e">
        <f ca="1">_xll.ESQuote("CUBEXTUB.EQ-NSE","Change")</f>
        <v>#NAME?</v>
      </c>
      <c r="D282" s="2" t="e">
        <f ca="1">_xll.ESQuote("CUBEXTUB.EQ-NSE","Close")</f>
        <v>#NAME?</v>
      </c>
      <c r="E282" s="2" t="e">
        <f ca="1">_xll.ESQuote("CUBEXTUB.EQ-NSE","Company")</f>
        <v>#NAME?</v>
      </c>
      <c r="F282" s="2" t="e">
        <f ca="1">_xll.ESQuote("CUBEXTUB.EQ-NSE","Description")</f>
        <v>#NAME?</v>
      </c>
      <c r="G282" s="2" t="e">
        <f ca="1">_xll.ESQuote("CUBEXTUB.EQ-NSE","Exchange")</f>
        <v>#NAME?</v>
      </c>
      <c r="H282" s="2" t="e">
        <f ca="1">_xll.ESQuote("CUBEXTUB.EQ-NSE","High")</f>
        <v>#NAME?</v>
      </c>
      <c r="I282" s="2" t="e">
        <f ca="1">_xll.ESQuote("CUBEXTUB.EQ-NSE","Last")</f>
        <v>#NAME?</v>
      </c>
      <c r="J282" s="4" t="e">
        <f ca="1">_xll.ESQuote("CUBEXTUB.EQ-NSE","Last_Time")</f>
        <v>#NAME?</v>
      </c>
      <c r="K282" s="2" t="e">
        <f ca="1">_xll.ESQuote("CUBEXTUB.EQ-NSE","Low")</f>
        <v>#NAME?</v>
      </c>
      <c r="L282" s="2" t="e">
        <f ca="1">_xll.ESQuote("CUBEXTUB.EQ-NSE","Open")</f>
        <v>#NAME?</v>
      </c>
      <c r="M282" s="2" t="e">
        <f ca="1">_xll.ESQuote("CUBEXTUB.EQ-NSE","PrevPrice")</f>
        <v>#NAME?</v>
      </c>
      <c r="N282" s="2" t="e">
        <f ca="1">_xll.ESQuote("CUBEXTUB.EQ-NSE","Symbol")</f>
        <v>#NAME?</v>
      </c>
      <c r="O282" s="2" t="e">
        <f ca="1">_xll.ESQuote("CUBEXTUB.EQ-NSE","Volume")</f>
        <v>#NAME?</v>
      </c>
    </row>
    <row r="283" spans="1:15" x14ac:dyDescent="0.25">
      <c r="A283" s="1" t="s">
        <v>295</v>
      </c>
      <c r="B283" s="2" t="e">
        <f ca="1">_xll.ESQuote("CUMMINSIND.EQ-NSE","% Change")</f>
        <v>#NAME?</v>
      </c>
      <c r="C283" s="2" t="e">
        <f ca="1">_xll.ESQuote("CUMMINSIND.EQ-NSE","Change")</f>
        <v>#NAME?</v>
      </c>
      <c r="D283" s="2" t="e">
        <f ca="1">_xll.ESQuote("CUMMINSIND.EQ-NSE","Close")</f>
        <v>#NAME?</v>
      </c>
      <c r="E283" s="2" t="e">
        <f ca="1">_xll.ESQuote("CUMMINSIND.EQ-NSE","Company")</f>
        <v>#NAME?</v>
      </c>
      <c r="F283" s="2" t="e">
        <f ca="1">_xll.ESQuote("CUMMINSIND.EQ-NSE","Description")</f>
        <v>#NAME?</v>
      </c>
      <c r="G283" s="2" t="e">
        <f ca="1">_xll.ESQuote("CUMMINSIND.EQ-NSE","Exchange")</f>
        <v>#NAME?</v>
      </c>
      <c r="H283" s="2" t="e">
        <f ca="1">_xll.ESQuote("CUMMINSIND.EQ-NSE","High")</f>
        <v>#NAME?</v>
      </c>
      <c r="I283" s="2" t="e">
        <f ca="1">_xll.ESQuote("CUMMINSIND.EQ-NSE","Last")</f>
        <v>#NAME?</v>
      </c>
      <c r="J283" s="4" t="e">
        <f ca="1">_xll.ESQuote("CUMMINSIND.EQ-NSE","Last_Time")</f>
        <v>#NAME?</v>
      </c>
      <c r="K283" s="2" t="e">
        <f ca="1">_xll.ESQuote("CUMMINSIND.EQ-NSE","Low")</f>
        <v>#NAME?</v>
      </c>
      <c r="L283" s="2" t="e">
        <f ca="1">_xll.ESQuote("CUMMINSIND.EQ-NSE","Open")</f>
        <v>#NAME?</v>
      </c>
      <c r="M283" s="2" t="e">
        <f ca="1">_xll.ESQuote("CUMMINSIND.EQ-NSE","PrevPrice")</f>
        <v>#NAME?</v>
      </c>
      <c r="N283" s="2" t="e">
        <f ca="1">_xll.ESQuote("CUMMINSIND.EQ-NSE","Symbol")</f>
        <v>#NAME?</v>
      </c>
      <c r="O283" s="2" t="e">
        <f ca="1">_xll.ESQuote("CUMMINSIND.EQ-NSE","Volume")</f>
        <v>#NAME?</v>
      </c>
    </row>
    <row r="284" spans="1:15" x14ac:dyDescent="0.25">
      <c r="A284" s="1" t="s">
        <v>296</v>
      </c>
      <c r="B284" s="2" t="e">
        <f ca="1">_xll.ESQuote("CURATECH.EQ-NSE","% Change")</f>
        <v>#NAME?</v>
      </c>
      <c r="C284" s="2" t="e">
        <f ca="1">_xll.ESQuote("CURATECH.EQ-NSE","Change")</f>
        <v>#NAME?</v>
      </c>
      <c r="D284" s="2" t="e">
        <f ca="1">_xll.ESQuote("CURATECH.EQ-NSE","Close")</f>
        <v>#NAME?</v>
      </c>
      <c r="E284" s="2" t="e">
        <f ca="1">_xll.ESQuote("CURATECH.EQ-NSE","Company")</f>
        <v>#NAME?</v>
      </c>
      <c r="F284" s="2" t="e">
        <f ca="1">_xll.ESQuote("CURATECH.EQ-NSE","Description")</f>
        <v>#NAME?</v>
      </c>
      <c r="G284" s="2" t="e">
        <f ca="1">_xll.ESQuote("CURATECH.EQ-NSE","Exchange")</f>
        <v>#NAME?</v>
      </c>
      <c r="H284" s="2" t="e">
        <f ca="1">_xll.ESQuote("CURATECH.EQ-NSE","High")</f>
        <v>#NAME?</v>
      </c>
      <c r="I284" s="2" t="e">
        <f ca="1">_xll.ESQuote("CURATECH.EQ-NSE","Last")</f>
        <v>#NAME?</v>
      </c>
      <c r="J284" s="4" t="e">
        <f ca="1">_xll.ESQuote("CURATECH.EQ-NSE","Last_Time")</f>
        <v>#NAME?</v>
      </c>
      <c r="K284" s="2" t="e">
        <f ca="1">_xll.ESQuote("CURATECH.EQ-NSE","Low")</f>
        <v>#NAME?</v>
      </c>
      <c r="L284" s="2" t="e">
        <f ca="1">_xll.ESQuote("CURATECH.EQ-NSE","Open")</f>
        <v>#NAME?</v>
      </c>
      <c r="M284" s="2" t="e">
        <f ca="1">_xll.ESQuote("CURATECH.EQ-NSE","PrevPrice")</f>
        <v>#NAME?</v>
      </c>
      <c r="N284" s="2" t="e">
        <f ca="1">_xll.ESQuote("CURATECH.EQ-NSE","Symbol")</f>
        <v>#NAME?</v>
      </c>
      <c r="O284" s="2" t="e">
        <f ca="1">_xll.ESQuote("CURATECH.EQ-NSE","Volume")</f>
        <v>#NAME?</v>
      </c>
    </row>
    <row r="285" spans="1:15" x14ac:dyDescent="0.25">
      <c r="A285" s="1" t="s">
        <v>297</v>
      </c>
      <c r="B285" s="2" t="e">
        <f ca="1">_xll.ESQuote("CYBERMEDIA.EQ-NSE","% Change")</f>
        <v>#NAME?</v>
      </c>
      <c r="C285" s="2" t="e">
        <f ca="1">_xll.ESQuote("CYBERMEDIA.EQ-NSE","Change")</f>
        <v>#NAME?</v>
      </c>
      <c r="D285" s="2" t="e">
        <f ca="1">_xll.ESQuote("CYBERMEDIA.EQ-NSE","Close")</f>
        <v>#NAME?</v>
      </c>
      <c r="E285" s="2" t="e">
        <f ca="1">_xll.ESQuote("CYBERMEDIA.EQ-NSE","Company")</f>
        <v>#NAME?</v>
      </c>
      <c r="F285" s="2" t="e">
        <f ca="1">_xll.ESQuote("CYBERMEDIA.EQ-NSE","Description")</f>
        <v>#NAME?</v>
      </c>
      <c r="G285" s="2" t="e">
        <f ca="1">_xll.ESQuote("CYBERMEDIA.EQ-NSE","Exchange")</f>
        <v>#NAME?</v>
      </c>
      <c r="H285" s="2" t="e">
        <f ca="1">_xll.ESQuote("CYBERMEDIA.EQ-NSE","High")</f>
        <v>#NAME?</v>
      </c>
      <c r="I285" s="2" t="e">
        <f ca="1">_xll.ESQuote("CYBERMEDIA.EQ-NSE","Last")</f>
        <v>#NAME?</v>
      </c>
      <c r="J285" s="4" t="e">
        <f ca="1">_xll.ESQuote("CYBERMEDIA.EQ-NSE","Last_Time")</f>
        <v>#NAME?</v>
      </c>
      <c r="K285" s="2" t="e">
        <f ca="1">_xll.ESQuote("CYBERMEDIA.EQ-NSE","Low")</f>
        <v>#NAME?</v>
      </c>
      <c r="L285" s="2" t="e">
        <f ca="1">_xll.ESQuote("CYBERMEDIA.EQ-NSE","Open")</f>
        <v>#NAME?</v>
      </c>
      <c r="M285" s="2" t="e">
        <f ca="1">_xll.ESQuote("CYBERMEDIA.EQ-NSE","PrevPrice")</f>
        <v>#NAME?</v>
      </c>
      <c r="N285" s="2" t="e">
        <f ca="1">_xll.ESQuote("CYBERMEDIA.EQ-NSE","Symbol")</f>
        <v>#NAME?</v>
      </c>
      <c r="O285" s="2" t="e">
        <f ca="1">_xll.ESQuote("CYBERMEDIA.EQ-NSE","Volume")</f>
        <v>#NAME?</v>
      </c>
    </row>
    <row r="286" spans="1:15" x14ac:dyDescent="0.25">
      <c r="A286" s="1" t="s">
        <v>298</v>
      </c>
      <c r="B286" s="2" t="e">
        <f ca="1">_xll.ESQuote("CYBERTECH.EQ-NSE","% Change")</f>
        <v>#NAME?</v>
      </c>
      <c r="C286" s="2" t="e">
        <f ca="1">_xll.ESQuote("CYBERTECH.EQ-NSE","Change")</f>
        <v>#NAME?</v>
      </c>
      <c r="D286" s="2" t="e">
        <f ca="1">_xll.ESQuote("CYBERTECH.EQ-NSE","Close")</f>
        <v>#NAME?</v>
      </c>
      <c r="E286" s="2" t="e">
        <f ca="1">_xll.ESQuote("CYBERTECH.EQ-NSE","Company")</f>
        <v>#NAME?</v>
      </c>
      <c r="F286" s="2" t="e">
        <f ca="1">_xll.ESQuote("CYBERTECH.EQ-NSE","Description")</f>
        <v>#NAME?</v>
      </c>
      <c r="G286" s="2" t="e">
        <f ca="1">_xll.ESQuote("CYBERTECH.EQ-NSE","Exchange")</f>
        <v>#NAME?</v>
      </c>
      <c r="H286" s="2" t="e">
        <f ca="1">_xll.ESQuote("CYBERTECH.EQ-NSE","High")</f>
        <v>#NAME?</v>
      </c>
      <c r="I286" s="2" t="e">
        <f ca="1">_xll.ESQuote("CYBERTECH.EQ-NSE","Last")</f>
        <v>#NAME?</v>
      </c>
      <c r="J286" s="4" t="e">
        <f ca="1">_xll.ESQuote("CYBERTECH.EQ-NSE","Last_Time")</f>
        <v>#NAME?</v>
      </c>
      <c r="K286" s="2" t="e">
        <f ca="1">_xll.ESQuote("CYBERTECH.EQ-NSE","Low")</f>
        <v>#NAME?</v>
      </c>
      <c r="L286" s="2" t="e">
        <f ca="1">_xll.ESQuote("CYBERTECH.EQ-NSE","Open")</f>
        <v>#NAME?</v>
      </c>
      <c r="M286" s="2" t="e">
        <f ca="1">_xll.ESQuote("CYBERTECH.EQ-NSE","PrevPrice")</f>
        <v>#NAME?</v>
      </c>
      <c r="N286" s="2" t="e">
        <f ca="1">_xll.ESQuote("CYBERTECH.EQ-NSE","Symbol")</f>
        <v>#NAME?</v>
      </c>
      <c r="O286" s="2" t="e">
        <f ca="1">_xll.ESQuote("CYBERTECH.EQ-NSE","Volume")</f>
        <v>#NAME?</v>
      </c>
    </row>
    <row r="287" spans="1:15" x14ac:dyDescent="0.25">
      <c r="A287" s="1" t="s">
        <v>299</v>
      </c>
      <c r="B287" s="2" t="e">
        <f ca="1">_xll.ESQuote("CYIENT.EQ-NSE","% Change")</f>
        <v>#NAME?</v>
      </c>
      <c r="C287" s="2" t="e">
        <f ca="1">_xll.ESQuote("CYIENT.EQ-NSE","Change")</f>
        <v>#NAME?</v>
      </c>
      <c r="D287" s="2" t="e">
        <f ca="1">_xll.ESQuote("CYIENT.EQ-NSE","Close")</f>
        <v>#NAME?</v>
      </c>
      <c r="E287" s="2" t="e">
        <f ca="1">_xll.ESQuote("CYIENT.EQ-NSE","Company")</f>
        <v>#NAME?</v>
      </c>
      <c r="F287" s="2" t="e">
        <f ca="1">_xll.ESQuote("CYIENT.EQ-NSE","Description")</f>
        <v>#NAME?</v>
      </c>
      <c r="G287" s="2" t="e">
        <f ca="1">_xll.ESQuote("CYIENT.EQ-NSE","Exchange")</f>
        <v>#NAME?</v>
      </c>
      <c r="H287" s="2" t="e">
        <f ca="1">_xll.ESQuote("CYIENT.EQ-NSE","High")</f>
        <v>#NAME?</v>
      </c>
      <c r="I287" s="2" t="e">
        <f ca="1">_xll.ESQuote("CYIENT.EQ-NSE","Last")</f>
        <v>#NAME?</v>
      </c>
      <c r="J287" s="4" t="e">
        <f ca="1">_xll.ESQuote("CYIENT.EQ-NSE","Last_Time")</f>
        <v>#NAME?</v>
      </c>
      <c r="K287" s="2" t="e">
        <f ca="1">_xll.ESQuote("CYIENT.EQ-NSE","Low")</f>
        <v>#NAME?</v>
      </c>
      <c r="L287" s="2" t="e">
        <f ca="1">_xll.ESQuote("CYIENT.EQ-NSE","Open")</f>
        <v>#NAME?</v>
      </c>
      <c r="M287" s="2" t="e">
        <f ca="1">_xll.ESQuote("CYIENT.EQ-NSE","PrevPrice")</f>
        <v>#NAME?</v>
      </c>
      <c r="N287" s="2" t="e">
        <f ca="1">_xll.ESQuote("CYIENT.EQ-NSE","Symbol")</f>
        <v>#NAME?</v>
      </c>
      <c r="O287" s="2" t="e">
        <f ca="1">_xll.ESQuote("CYIENT.EQ-NSE","Volume")</f>
        <v>#NAME?</v>
      </c>
    </row>
    <row r="288" spans="1:15" x14ac:dyDescent="0.25">
      <c r="A288" s="1" t="s">
        <v>300</v>
      </c>
      <c r="B288" s="2" t="e">
        <f ca="1">_xll.ESQuote("DAAWAT.EQ-NSE","% Change")</f>
        <v>#NAME?</v>
      </c>
      <c r="C288" s="2" t="e">
        <f ca="1">_xll.ESQuote("DAAWAT.EQ-NSE","Change")</f>
        <v>#NAME?</v>
      </c>
      <c r="D288" s="2" t="e">
        <f ca="1">_xll.ESQuote("DAAWAT.EQ-NSE","Close")</f>
        <v>#NAME?</v>
      </c>
      <c r="E288" s="2" t="e">
        <f ca="1">_xll.ESQuote("DAAWAT.EQ-NSE","Company")</f>
        <v>#NAME?</v>
      </c>
      <c r="F288" s="2" t="e">
        <f ca="1">_xll.ESQuote("DAAWAT.EQ-NSE","Description")</f>
        <v>#NAME?</v>
      </c>
      <c r="G288" s="2" t="e">
        <f ca="1">_xll.ESQuote("DAAWAT.EQ-NSE","Exchange")</f>
        <v>#NAME?</v>
      </c>
      <c r="H288" s="2" t="e">
        <f ca="1">_xll.ESQuote("DAAWAT.EQ-NSE","High")</f>
        <v>#NAME?</v>
      </c>
      <c r="I288" s="2" t="e">
        <f ca="1">_xll.ESQuote("DAAWAT.EQ-NSE","Last")</f>
        <v>#NAME?</v>
      </c>
      <c r="J288" s="4" t="e">
        <f ca="1">_xll.ESQuote("DAAWAT.EQ-NSE","Last_Time")</f>
        <v>#NAME?</v>
      </c>
      <c r="K288" s="2" t="e">
        <f ca="1">_xll.ESQuote("DAAWAT.EQ-NSE","Low")</f>
        <v>#NAME?</v>
      </c>
      <c r="L288" s="2" t="e">
        <f ca="1">_xll.ESQuote("DAAWAT.EQ-NSE","Open")</f>
        <v>#NAME?</v>
      </c>
      <c r="M288" s="2" t="e">
        <f ca="1">_xll.ESQuote("DAAWAT.EQ-NSE","PrevPrice")</f>
        <v>#NAME?</v>
      </c>
      <c r="N288" s="2" t="e">
        <f ca="1">_xll.ESQuote("DAAWAT.EQ-NSE","Symbol")</f>
        <v>#NAME?</v>
      </c>
      <c r="O288" s="2" t="e">
        <f ca="1">_xll.ESQuote("DAAWAT.EQ-NSE","Volume")</f>
        <v>#NAME?</v>
      </c>
    </row>
    <row r="289" spans="1:15" x14ac:dyDescent="0.25">
      <c r="A289" s="1" t="s">
        <v>301</v>
      </c>
      <c r="B289" s="2" t="e">
        <f ca="1">_xll.ESQuote("DABUR.EQ-NSE","% Change")</f>
        <v>#NAME?</v>
      </c>
      <c r="C289" s="2" t="e">
        <f ca="1">_xll.ESQuote("DABUR.EQ-NSE","Change")</f>
        <v>#NAME?</v>
      </c>
      <c r="D289" s="2" t="e">
        <f ca="1">_xll.ESQuote("DABUR.EQ-NSE","Close")</f>
        <v>#NAME?</v>
      </c>
      <c r="E289" s="2" t="e">
        <f ca="1">_xll.ESQuote("DABUR.EQ-NSE","Company")</f>
        <v>#NAME?</v>
      </c>
      <c r="F289" s="2" t="e">
        <f ca="1">_xll.ESQuote("DABUR.EQ-NSE","Description")</f>
        <v>#NAME?</v>
      </c>
      <c r="G289" s="2" t="e">
        <f ca="1">_xll.ESQuote("DABUR.EQ-NSE","Exchange")</f>
        <v>#NAME?</v>
      </c>
      <c r="H289" s="2" t="e">
        <f ca="1">_xll.ESQuote("DABUR.EQ-NSE","High")</f>
        <v>#NAME?</v>
      </c>
      <c r="I289" s="2" t="e">
        <f ca="1">_xll.ESQuote("DABUR.EQ-NSE","Last")</f>
        <v>#NAME?</v>
      </c>
      <c r="J289" s="4" t="e">
        <f ca="1">_xll.ESQuote("DABUR.EQ-NSE","Last_Time")</f>
        <v>#NAME?</v>
      </c>
      <c r="K289" s="2" t="e">
        <f ca="1">_xll.ESQuote("DABUR.EQ-NSE","Low")</f>
        <v>#NAME?</v>
      </c>
      <c r="L289" s="2" t="e">
        <f ca="1">_xll.ESQuote("DABUR.EQ-NSE","Open")</f>
        <v>#NAME?</v>
      </c>
      <c r="M289" s="2" t="e">
        <f ca="1">_xll.ESQuote("DABUR.EQ-NSE","PrevPrice")</f>
        <v>#NAME?</v>
      </c>
      <c r="N289" s="2" t="e">
        <f ca="1">_xll.ESQuote("DABUR.EQ-NSE","Symbol")</f>
        <v>#NAME?</v>
      </c>
      <c r="O289" s="2" t="e">
        <f ca="1">_xll.ESQuote("DABUR.EQ-NSE","Volume")</f>
        <v>#NAME?</v>
      </c>
    </row>
    <row r="290" spans="1:15" x14ac:dyDescent="0.25">
      <c r="A290" s="1" t="s">
        <v>302</v>
      </c>
      <c r="B290" s="2" t="e">
        <f ca="1">_xll.ESQuote("DALMIABHA.EQ-NSE","% Change")</f>
        <v>#NAME?</v>
      </c>
      <c r="C290" s="2" t="e">
        <f ca="1">_xll.ESQuote("DALMIABHA.EQ-NSE","Change")</f>
        <v>#NAME?</v>
      </c>
      <c r="D290" s="2" t="e">
        <f ca="1">_xll.ESQuote("DALMIABHA.EQ-NSE","Close")</f>
        <v>#NAME?</v>
      </c>
      <c r="E290" s="2" t="e">
        <f ca="1">_xll.ESQuote("DALMIABHA.EQ-NSE","Company")</f>
        <v>#NAME?</v>
      </c>
      <c r="F290" s="2" t="e">
        <f ca="1">_xll.ESQuote("DALMIABHA.EQ-NSE","Description")</f>
        <v>#NAME?</v>
      </c>
      <c r="G290" s="2" t="e">
        <f ca="1">_xll.ESQuote("DALMIABHA.EQ-NSE","Exchange")</f>
        <v>#NAME?</v>
      </c>
      <c r="H290" s="2" t="e">
        <f ca="1">_xll.ESQuote("DALMIABHA.EQ-NSE","High")</f>
        <v>#NAME?</v>
      </c>
      <c r="I290" s="2" t="e">
        <f ca="1">_xll.ESQuote("DALMIABHA.EQ-NSE","Last")</f>
        <v>#NAME?</v>
      </c>
      <c r="J290" s="4" t="e">
        <f ca="1">_xll.ESQuote("DALMIABHA.EQ-NSE","Last_Time")</f>
        <v>#NAME?</v>
      </c>
      <c r="K290" s="2" t="e">
        <f ca="1">_xll.ESQuote("DALMIABHA.EQ-NSE","Low")</f>
        <v>#NAME?</v>
      </c>
      <c r="L290" s="2" t="e">
        <f ca="1">_xll.ESQuote("DALMIABHA.EQ-NSE","Open")</f>
        <v>#NAME?</v>
      </c>
      <c r="M290" s="2" t="e">
        <f ca="1">_xll.ESQuote("DALMIABHA.EQ-NSE","PrevPrice")</f>
        <v>#NAME?</v>
      </c>
      <c r="N290" s="2" t="e">
        <f ca="1">_xll.ESQuote("DALMIABHA.EQ-NSE","Symbol")</f>
        <v>#NAME?</v>
      </c>
      <c r="O290" s="2" t="e">
        <f ca="1">_xll.ESQuote("DALMIABHA.EQ-NSE","Volume")</f>
        <v>#NAME?</v>
      </c>
    </row>
    <row r="291" spans="1:15" x14ac:dyDescent="0.25">
      <c r="A291" s="1" t="s">
        <v>303</v>
      </c>
      <c r="B291" s="2" t="e">
        <f ca="1">_xll.ESQuote("DALMIASUG.EQ-NSE","% Change")</f>
        <v>#NAME?</v>
      </c>
      <c r="C291" s="2" t="e">
        <f ca="1">_xll.ESQuote("DALMIASUG.EQ-NSE","Change")</f>
        <v>#NAME?</v>
      </c>
      <c r="D291" s="2" t="e">
        <f ca="1">_xll.ESQuote("DALMIASUG.EQ-NSE","Close")</f>
        <v>#NAME?</v>
      </c>
      <c r="E291" s="2" t="e">
        <f ca="1">_xll.ESQuote("DALMIASUG.EQ-NSE","Company")</f>
        <v>#NAME?</v>
      </c>
      <c r="F291" s="2" t="e">
        <f ca="1">_xll.ESQuote("DALMIASUG.EQ-NSE","Description")</f>
        <v>#NAME?</v>
      </c>
      <c r="G291" s="2" t="e">
        <f ca="1">_xll.ESQuote("DALMIASUG.EQ-NSE","Exchange")</f>
        <v>#NAME?</v>
      </c>
      <c r="H291" s="2" t="e">
        <f ca="1">_xll.ESQuote("DALMIASUG.EQ-NSE","High")</f>
        <v>#NAME?</v>
      </c>
      <c r="I291" s="2" t="e">
        <f ca="1">_xll.ESQuote("DALMIASUG.EQ-NSE","Last")</f>
        <v>#NAME?</v>
      </c>
      <c r="J291" s="4" t="e">
        <f ca="1">_xll.ESQuote("DALMIASUG.EQ-NSE","Last_Time")</f>
        <v>#NAME?</v>
      </c>
      <c r="K291" s="2" t="e">
        <f ca="1">_xll.ESQuote("DALMIASUG.EQ-NSE","Low")</f>
        <v>#NAME?</v>
      </c>
      <c r="L291" s="2" t="e">
        <f ca="1">_xll.ESQuote("DALMIASUG.EQ-NSE","Open")</f>
        <v>#NAME?</v>
      </c>
      <c r="M291" s="2" t="e">
        <f ca="1">_xll.ESQuote("DALMIASUG.EQ-NSE","PrevPrice")</f>
        <v>#NAME?</v>
      </c>
      <c r="N291" s="2" t="e">
        <f ca="1">_xll.ESQuote("DALMIASUG.EQ-NSE","Symbol")</f>
        <v>#NAME?</v>
      </c>
      <c r="O291" s="2" t="e">
        <f ca="1">_xll.ESQuote("DALMIASUG.EQ-NSE","Volume")</f>
        <v>#NAME?</v>
      </c>
    </row>
    <row r="292" spans="1:15" x14ac:dyDescent="0.25">
      <c r="A292" s="1" t="s">
        <v>304</v>
      </c>
      <c r="B292" s="2" t="e">
        <f ca="1">_xll.ESQuote("DATAMATICS.EQ-NSE","% Change")</f>
        <v>#NAME?</v>
      </c>
      <c r="C292" s="2" t="e">
        <f ca="1">_xll.ESQuote("DATAMATICS.EQ-NSE","Change")</f>
        <v>#NAME?</v>
      </c>
      <c r="D292" s="2" t="e">
        <f ca="1">_xll.ESQuote("DATAMATICS.EQ-NSE","Close")</f>
        <v>#NAME?</v>
      </c>
      <c r="E292" s="2" t="e">
        <f ca="1">_xll.ESQuote("DATAMATICS.EQ-NSE","Company")</f>
        <v>#NAME?</v>
      </c>
      <c r="F292" s="2" t="e">
        <f ca="1">_xll.ESQuote("DATAMATICS.EQ-NSE","Description")</f>
        <v>#NAME?</v>
      </c>
      <c r="G292" s="2" t="e">
        <f ca="1">_xll.ESQuote("DATAMATICS.EQ-NSE","Exchange")</f>
        <v>#NAME?</v>
      </c>
      <c r="H292" s="2" t="e">
        <f ca="1">_xll.ESQuote("DATAMATICS.EQ-NSE","High")</f>
        <v>#NAME?</v>
      </c>
      <c r="I292" s="2" t="e">
        <f ca="1">_xll.ESQuote("DATAMATICS.EQ-NSE","Last")</f>
        <v>#NAME?</v>
      </c>
      <c r="J292" s="4" t="e">
        <f ca="1">_xll.ESQuote("DATAMATICS.EQ-NSE","Last_Time")</f>
        <v>#NAME?</v>
      </c>
      <c r="K292" s="2" t="e">
        <f ca="1">_xll.ESQuote("DATAMATICS.EQ-NSE","Low")</f>
        <v>#NAME?</v>
      </c>
      <c r="L292" s="2" t="e">
        <f ca="1">_xll.ESQuote("DATAMATICS.EQ-NSE","Open")</f>
        <v>#NAME?</v>
      </c>
      <c r="M292" s="2" t="e">
        <f ca="1">_xll.ESQuote("DATAMATICS.EQ-NSE","PrevPrice")</f>
        <v>#NAME?</v>
      </c>
      <c r="N292" s="2" t="e">
        <f ca="1">_xll.ESQuote("DATAMATICS.EQ-NSE","Symbol")</f>
        <v>#NAME?</v>
      </c>
      <c r="O292" s="2" t="e">
        <f ca="1">_xll.ESQuote("DATAMATICS.EQ-NSE","Volume")</f>
        <v>#NAME?</v>
      </c>
    </row>
    <row r="293" spans="1:15" x14ac:dyDescent="0.25">
      <c r="A293" s="1" t="s">
        <v>305</v>
      </c>
      <c r="B293" s="2" t="e">
        <f ca="1">_xll.ESQuote("DBCORP.EQ-NSE","% Change")</f>
        <v>#NAME?</v>
      </c>
      <c r="C293" s="2" t="e">
        <f ca="1">_xll.ESQuote("DBCORP.EQ-NSE","Change")</f>
        <v>#NAME?</v>
      </c>
      <c r="D293" s="2" t="e">
        <f ca="1">_xll.ESQuote("DBCORP.EQ-NSE","Close")</f>
        <v>#NAME?</v>
      </c>
      <c r="E293" s="2" t="e">
        <f ca="1">_xll.ESQuote("DBCORP.EQ-NSE","Company")</f>
        <v>#NAME?</v>
      </c>
      <c r="F293" s="2" t="e">
        <f ca="1">_xll.ESQuote("DBCORP.EQ-NSE","Description")</f>
        <v>#NAME?</v>
      </c>
      <c r="G293" s="2" t="e">
        <f ca="1">_xll.ESQuote("DBCORP.EQ-NSE","Exchange")</f>
        <v>#NAME?</v>
      </c>
      <c r="H293" s="2" t="e">
        <f ca="1">_xll.ESQuote("DBCORP.EQ-NSE","High")</f>
        <v>#NAME?</v>
      </c>
      <c r="I293" s="2" t="e">
        <f ca="1">_xll.ESQuote("DBCORP.EQ-NSE","Last")</f>
        <v>#NAME?</v>
      </c>
      <c r="J293" s="4" t="e">
        <f ca="1">_xll.ESQuote("DBCORP.EQ-NSE","Last_Time")</f>
        <v>#NAME?</v>
      </c>
      <c r="K293" s="2" t="e">
        <f ca="1">_xll.ESQuote("DBCORP.EQ-NSE","Low")</f>
        <v>#NAME?</v>
      </c>
      <c r="L293" s="2" t="e">
        <f ca="1">_xll.ESQuote("DBCORP.EQ-NSE","Open")</f>
        <v>#NAME?</v>
      </c>
      <c r="M293" s="2" t="e">
        <f ca="1">_xll.ESQuote("DBCORP.EQ-NSE","PrevPrice")</f>
        <v>#NAME?</v>
      </c>
      <c r="N293" s="2" t="e">
        <f ca="1">_xll.ESQuote("DBCORP.EQ-NSE","Symbol")</f>
        <v>#NAME?</v>
      </c>
      <c r="O293" s="2" t="e">
        <f ca="1">_xll.ESQuote("DBCORP.EQ-NSE","Volume")</f>
        <v>#NAME?</v>
      </c>
    </row>
    <row r="294" spans="1:15" x14ac:dyDescent="0.25">
      <c r="A294" s="1" t="s">
        <v>306</v>
      </c>
      <c r="B294" s="2" t="e">
        <f ca="1">_xll.ESQuote("DBREALTY.EQ-NSE","% Change")</f>
        <v>#NAME?</v>
      </c>
      <c r="C294" s="2" t="e">
        <f ca="1">_xll.ESQuote("DBREALTY.EQ-NSE","Change")</f>
        <v>#NAME?</v>
      </c>
      <c r="D294" s="2" t="e">
        <f ca="1">_xll.ESQuote("DBREALTY.EQ-NSE","Close")</f>
        <v>#NAME?</v>
      </c>
      <c r="E294" s="2" t="e">
        <f ca="1">_xll.ESQuote("DBREALTY.EQ-NSE","Company")</f>
        <v>#NAME?</v>
      </c>
      <c r="F294" s="2" t="e">
        <f ca="1">_xll.ESQuote("DBREALTY.EQ-NSE","Description")</f>
        <v>#NAME?</v>
      </c>
      <c r="G294" s="2" t="e">
        <f ca="1">_xll.ESQuote("DBREALTY.EQ-NSE","Exchange")</f>
        <v>#NAME?</v>
      </c>
      <c r="H294" s="2" t="e">
        <f ca="1">_xll.ESQuote("DBREALTY.EQ-NSE","High")</f>
        <v>#NAME?</v>
      </c>
      <c r="I294" s="2" t="e">
        <f ca="1">_xll.ESQuote("DBREALTY.EQ-NSE","Last")</f>
        <v>#NAME?</v>
      </c>
      <c r="J294" s="4" t="e">
        <f ca="1">_xll.ESQuote("DBREALTY.EQ-NSE","Last_Time")</f>
        <v>#NAME?</v>
      </c>
      <c r="K294" s="2" t="e">
        <f ca="1">_xll.ESQuote("DBREALTY.EQ-NSE","Low")</f>
        <v>#NAME?</v>
      </c>
      <c r="L294" s="2" t="e">
        <f ca="1">_xll.ESQuote("DBREALTY.EQ-NSE","Open")</f>
        <v>#NAME?</v>
      </c>
      <c r="M294" s="2" t="e">
        <f ca="1">_xll.ESQuote("DBREALTY.EQ-NSE","PrevPrice")</f>
        <v>#NAME?</v>
      </c>
      <c r="N294" s="2" t="e">
        <f ca="1">_xll.ESQuote("DBREALTY.EQ-NSE","Symbol")</f>
        <v>#NAME?</v>
      </c>
      <c r="O294" s="2" t="e">
        <f ca="1">_xll.ESQuote("DBREALTY.EQ-NSE","Volume")</f>
        <v>#NAME?</v>
      </c>
    </row>
    <row r="295" spans="1:15" x14ac:dyDescent="0.25">
      <c r="A295" s="1" t="s">
        <v>307</v>
      </c>
      <c r="B295" s="2" t="e">
        <f ca="1">_xll.ESQuote("DBSTOCKBRO.EQ-NSE","% Change")</f>
        <v>#NAME?</v>
      </c>
      <c r="C295" s="2" t="e">
        <f ca="1">_xll.ESQuote("DBSTOCKBRO.EQ-NSE","Change")</f>
        <v>#NAME?</v>
      </c>
      <c r="D295" s="2" t="e">
        <f ca="1">_xll.ESQuote("DBSTOCKBRO.EQ-NSE","Close")</f>
        <v>#NAME?</v>
      </c>
      <c r="E295" s="2" t="e">
        <f ca="1">_xll.ESQuote("DBSTOCKBRO.EQ-NSE","Company")</f>
        <v>#NAME?</v>
      </c>
      <c r="F295" s="2" t="e">
        <f ca="1">_xll.ESQuote("DBSTOCKBRO.EQ-NSE","Description")</f>
        <v>#NAME?</v>
      </c>
      <c r="G295" s="2" t="e">
        <f ca="1">_xll.ESQuote("DBSTOCKBRO.EQ-NSE","Exchange")</f>
        <v>#NAME?</v>
      </c>
      <c r="H295" s="2" t="e">
        <f ca="1">_xll.ESQuote("DBSTOCKBRO.EQ-NSE","High")</f>
        <v>#NAME?</v>
      </c>
      <c r="I295" s="2" t="e">
        <f ca="1">_xll.ESQuote("DBSTOCKBRO.EQ-NSE","Last")</f>
        <v>#NAME?</v>
      </c>
      <c r="J295" s="4" t="e">
        <f ca="1">_xll.ESQuote("DBSTOCKBRO.EQ-NSE","Last_Time")</f>
        <v>#NAME?</v>
      </c>
      <c r="K295" s="2" t="e">
        <f ca="1">_xll.ESQuote("DBSTOCKBRO.EQ-NSE","Low")</f>
        <v>#NAME?</v>
      </c>
      <c r="L295" s="2" t="e">
        <f ca="1">_xll.ESQuote("DBSTOCKBRO.EQ-NSE","Open")</f>
        <v>#NAME?</v>
      </c>
      <c r="M295" s="2" t="e">
        <f ca="1">_xll.ESQuote("DBSTOCKBRO.EQ-NSE","PrevPrice")</f>
        <v>#NAME?</v>
      </c>
      <c r="N295" s="2" t="e">
        <f ca="1">_xll.ESQuote("DBSTOCKBRO.EQ-NSE","Symbol")</f>
        <v>#NAME?</v>
      </c>
      <c r="O295" s="2" t="e">
        <f ca="1">_xll.ESQuote("DBSTOCKBRO.EQ-NSE","Volume")</f>
        <v>#NAME?</v>
      </c>
    </row>
    <row r="296" spans="1:15" x14ac:dyDescent="0.25">
      <c r="A296" s="1" t="s">
        <v>308</v>
      </c>
      <c r="B296" s="2" t="e">
        <f ca="1">_xll.ESQuote("DCBBANK.EQ-NSE","% Change")</f>
        <v>#NAME?</v>
      </c>
      <c r="C296" s="2" t="e">
        <f ca="1">_xll.ESQuote("DCBBANK.EQ-NSE","Change")</f>
        <v>#NAME?</v>
      </c>
      <c r="D296" s="2" t="e">
        <f ca="1">_xll.ESQuote("DCBBANK.EQ-NSE","Close")</f>
        <v>#NAME?</v>
      </c>
      <c r="E296" s="2" t="e">
        <f ca="1">_xll.ESQuote("DCBBANK.EQ-NSE","Company")</f>
        <v>#NAME?</v>
      </c>
      <c r="F296" s="2" t="e">
        <f ca="1">_xll.ESQuote("DCBBANK.EQ-NSE","Description")</f>
        <v>#NAME?</v>
      </c>
      <c r="G296" s="2" t="e">
        <f ca="1">_xll.ESQuote("DCBBANK.EQ-NSE","Exchange")</f>
        <v>#NAME?</v>
      </c>
      <c r="H296" s="2" t="e">
        <f ca="1">_xll.ESQuote("DCBBANK.EQ-NSE","High")</f>
        <v>#NAME?</v>
      </c>
      <c r="I296" s="2" t="e">
        <f ca="1">_xll.ESQuote("DCBBANK.EQ-NSE","Last")</f>
        <v>#NAME?</v>
      </c>
      <c r="J296" s="4" t="e">
        <f ca="1">_xll.ESQuote("DCBBANK.EQ-NSE","Last_Time")</f>
        <v>#NAME?</v>
      </c>
      <c r="K296" s="2" t="e">
        <f ca="1">_xll.ESQuote("DCBBANK.EQ-NSE","Low")</f>
        <v>#NAME?</v>
      </c>
      <c r="L296" s="2" t="e">
        <f ca="1">_xll.ESQuote("DCBBANK.EQ-NSE","Open")</f>
        <v>#NAME?</v>
      </c>
      <c r="M296" s="2" t="e">
        <f ca="1">_xll.ESQuote("DCBBANK.EQ-NSE","PrevPrice")</f>
        <v>#NAME?</v>
      </c>
      <c r="N296" s="2" t="e">
        <f ca="1">_xll.ESQuote("DCBBANK.EQ-NSE","Symbol")</f>
        <v>#NAME?</v>
      </c>
      <c r="O296" s="2" t="e">
        <f ca="1">_xll.ESQuote("DCBBANK.EQ-NSE","Volume")</f>
        <v>#NAME?</v>
      </c>
    </row>
    <row r="297" spans="1:15" x14ac:dyDescent="0.25">
      <c r="A297" s="1" t="s">
        <v>309</v>
      </c>
      <c r="B297" s="2" t="e">
        <f ca="1">_xll.ESQuote("DCM.EQ-NSE","% Change")</f>
        <v>#NAME?</v>
      </c>
      <c r="C297" s="2" t="e">
        <f ca="1">_xll.ESQuote("DCM.EQ-NSE","Change")</f>
        <v>#NAME?</v>
      </c>
      <c r="D297" s="2" t="e">
        <f ca="1">_xll.ESQuote("DCM.EQ-NSE","Close")</f>
        <v>#NAME?</v>
      </c>
      <c r="E297" s="2" t="e">
        <f ca="1">_xll.ESQuote("DCM.EQ-NSE","Company")</f>
        <v>#NAME?</v>
      </c>
      <c r="F297" s="2" t="e">
        <f ca="1">_xll.ESQuote("DCM.EQ-NSE","Description")</f>
        <v>#NAME?</v>
      </c>
      <c r="G297" s="2" t="e">
        <f ca="1">_xll.ESQuote("DCM.EQ-NSE","Exchange")</f>
        <v>#NAME?</v>
      </c>
      <c r="H297" s="2" t="e">
        <f ca="1">_xll.ESQuote("DCM.EQ-NSE","High")</f>
        <v>#NAME?</v>
      </c>
      <c r="I297" s="2" t="e">
        <f ca="1">_xll.ESQuote("DCM.EQ-NSE","Last")</f>
        <v>#NAME?</v>
      </c>
      <c r="J297" s="4" t="e">
        <f ca="1">_xll.ESQuote("DCM.EQ-NSE","Last_Time")</f>
        <v>#NAME?</v>
      </c>
      <c r="K297" s="2" t="e">
        <f ca="1">_xll.ESQuote("DCM.EQ-NSE","Low")</f>
        <v>#NAME?</v>
      </c>
      <c r="L297" s="2" t="e">
        <f ca="1">_xll.ESQuote("DCM.EQ-NSE","Open")</f>
        <v>#NAME?</v>
      </c>
      <c r="M297" s="2" t="e">
        <f ca="1">_xll.ESQuote("DCM.EQ-NSE","PrevPrice")</f>
        <v>#NAME?</v>
      </c>
      <c r="N297" s="2" t="e">
        <f ca="1">_xll.ESQuote("DCM.EQ-NSE","Symbol")</f>
        <v>#NAME?</v>
      </c>
      <c r="O297" s="2" t="e">
        <f ca="1">_xll.ESQuote("DCM.EQ-NSE","Volume")</f>
        <v>#NAME?</v>
      </c>
    </row>
    <row r="298" spans="1:15" x14ac:dyDescent="0.25">
      <c r="A298" s="1" t="s">
        <v>310</v>
      </c>
      <c r="B298" s="2" t="e">
        <f ca="1">_xll.ESQuote("DCMSHRIRAM.EQ-NSE","% Change")</f>
        <v>#NAME?</v>
      </c>
      <c r="C298" s="2" t="e">
        <f ca="1">_xll.ESQuote("DCMSHRIRAM.EQ-NSE","Change")</f>
        <v>#NAME?</v>
      </c>
      <c r="D298" s="2" t="e">
        <f ca="1">_xll.ESQuote("DCMSHRIRAM.EQ-NSE","Close")</f>
        <v>#NAME?</v>
      </c>
      <c r="E298" s="2" t="e">
        <f ca="1">_xll.ESQuote("DCMSHRIRAM.EQ-NSE","Company")</f>
        <v>#NAME?</v>
      </c>
      <c r="F298" s="2" t="e">
        <f ca="1">_xll.ESQuote("DCMSHRIRAM.EQ-NSE","Description")</f>
        <v>#NAME?</v>
      </c>
      <c r="G298" s="2" t="e">
        <f ca="1">_xll.ESQuote("DCMSHRIRAM.EQ-NSE","Exchange")</f>
        <v>#NAME?</v>
      </c>
      <c r="H298" s="2" t="e">
        <f ca="1">_xll.ESQuote("DCMSHRIRAM.EQ-NSE","High")</f>
        <v>#NAME?</v>
      </c>
      <c r="I298" s="2" t="e">
        <f ca="1">_xll.ESQuote("DCMSHRIRAM.EQ-NSE","Last")</f>
        <v>#NAME?</v>
      </c>
      <c r="J298" s="4" t="e">
        <f ca="1">_xll.ESQuote("DCMSHRIRAM.EQ-NSE","Last_Time")</f>
        <v>#NAME?</v>
      </c>
      <c r="K298" s="2" t="e">
        <f ca="1">_xll.ESQuote("DCMSHRIRAM.EQ-NSE","Low")</f>
        <v>#NAME?</v>
      </c>
      <c r="L298" s="2" t="e">
        <f ca="1">_xll.ESQuote("DCMSHRIRAM.EQ-NSE","Open")</f>
        <v>#NAME?</v>
      </c>
      <c r="M298" s="2" t="e">
        <f ca="1">_xll.ESQuote("DCMSHRIRAM.EQ-NSE","PrevPrice")</f>
        <v>#NAME?</v>
      </c>
      <c r="N298" s="2" t="e">
        <f ca="1">_xll.ESQuote("DCMSHRIRAM.EQ-NSE","Symbol")</f>
        <v>#NAME?</v>
      </c>
      <c r="O298" s="2" t="e">
        <f ca="1">_xll.ESQuote("DCMSHRIRAM.EQ-NSE","Volume")</f>
        <v>#NAME?</v>
      </c>
    </row>
    <row r="299" spans="1:15" x14ac:dyDescent="0.25">
      <c r="A299" s="1" t="s">
        <v>311</v>
      </c>
      <c r="B299" s="2" t="e">
        <f ca="1">_xll.ESQuote("DCW.EQ-NSE","% Change")</f>
        <v>#NAME?</v>
      </c>
      <c r="C299" s="2" t="e">
        <f ca="1">_xll.ESQuote("DCW.EQ-NSE","Change")</f>
        <v>#NAME?</v>
      </c>
      <c r="D299" s="2" t="e">
        <f ca="1">_xll.ESQuote("DCW.EQ-NSE","Close")</f>
        <v>#NAME?</v>
      </c>
      <c r="E299" s="2" t="e">
        <f ca="1">_xll.ESQuote("DCW.EQ-NSE","Company")</f>
        <v>#NAME?</v>
      </c>
      <c r="F299" s="2" t="e">
        <f ca="1">_xll.ESQuote("DCW.EQ-NSE","Description")</f>
        <v>#NAME?</v>
      </c>
      <c r="G299" s="2" t="e">
        <f ca="1">_xll.ESQuote("DCW.EQ-NSE","Exchange")</f>
        <v>#NAME?</v>
      </c>
      <c r="H299" s="2" t="e">
        <f ca="1">_xll.ESQuote("DCW.EQ-NSE","High")</f>
        <v>#NAME?</v>
      </c>
      <c r="I299" s="2" t="e">
        <f ca="1">_xll.ESQuote("DCW.EQ-NSE","Last")</f>
        <v>#NAME?</v>
      </c>
      <c r="J299" s="4" t="e">
        <f ca="1">_xll.ESQuote("DCW.EQ-NSE","Last_Time")</f>
        <v>#NAME?</v>
      </c>
      <c r="K299" s="2" t="e">
        <f ca="1">_xll.ESQuote("DCW.EQ-NSE","Low")</f>
        <v>#NAME?</v>
      </c>
      <c r="L299" s="2" t="e">
        <f ca="1">_xll.ESQuote("DCW.EQ-NSE","Open")</f>
        <v>#NAME?</v>
      </c>
      <c r="M299" s="2" t="e">
        <f ca="1">_xll.ESQuote("DCW.EQ-NSE","PrevPrice")</f>
        <v>#NAME?</v>
      </c>
      <c r="N299" s="2" t="e">
        <f ca="1">_xll.ESQuote("DCW.EQ-NSE","Symbol")</f>
        <v>#NAME?</v>
      </c>
      <c r="O299" s="2" t="e">
        <f ca="1">_xll.ESQuote("DCW.EQ-NSE","Volume")</f>
        <v>#NAME?</v>
      </c>
    </row>
    <row r="300" spans="1:15" x14ac:dyDescent="0.25">
      <c r="A300" s="1" t="s">
        <v>312</v>
      </c>
      <c r="B300" s="2" t="e">
        <f ca="1">_xll.ESQuote("DECCANCE.EQ-NSE","% Change")</f>
        <v>#NAME?</v>
      </c>
      <c r="C300" s="2" t="e">
        <f ca="1">_xll.ESQuote("DECCANCE.EQ-NSE","Change")</f>
        <v>#NAME?</v>
      </c>
      <c r="D300" s="2" t="e">
        <f ca="1">_xll.ESQuote("DECCANCE.EQ-NSE","Close")</f>
        <v>#NAME?</v>
      </c>
      <c r="E300" s="2" t="e">
        <f ca="1">_xll.ESQuote("DECCANCE.EQ-NSE","Company")</f>
        <v>#NAME?</v>
      </c>
      <c r="F300" s="2" t="e">
        <f ca="1">_xll.ESQuote("DECCANCE.EQ-NSE","Description")</f>
        <v>#NAME?</v>
      </c>
      <c r="G300" s="2" t="e">
        <f ca="1">_xll.ESQuote("DECCANCE.EQ-NSE","Exchange")</f>
        <v>#NAME?</v>
      </c>
      <c r="H300" s="2" t="e">
        <f ca="1">_xll.ESQuote("DECCANCE.EQ-NSE","High")</f>
        <v>#NAME?</v>
      </c>
      <c r="I300" s="2" t="e">
        <f ca="1">_xll.ESQuote("DECCANCE.EQ-NSE","Last")</f>
        <v>#NAME?</v>
      </c>
      <c r="J300" s="4" t="e">
        <f ca="1">_xll.ESQuote("DECCANCE.EQ-NSE","Last_Time")</f>
        <v>#NAME?</v>
      </c>
      <c r="K300" s="2" t="e">
        <f ca="1">_xll.ESQuote("DECCANCE.EQ-NSE","Low")</f>
        <v>#NAME?</v>
      </c>
      <c r="L300" s="2" t="e">
        <f ca="1">_xll.ESQuote("DECCANCE.EQ-NSE","Open")</f>
        <v>#NAME?</v>
      </c>
      <c r="M300" s="2" t="e">
        <f ca="1">_xll.ESQuote("DECCANCE.EQ-NSE","PrevPrice")</f>
        <v>#NAME?</v>
      </c>
      <c r="N300" s="2" t="e">
        <f ca="1">_xll.ESQuote("DECCANCE.EQ-NSE","Symbol")</f>
        <v>#NAME?</v>
      </c>
      <c r="O300" s="2" t="e">
        <f ca="1">_xll.ESQuote("DECCANCE.EQ-NSE","Volume")</f>
        <v>#NAME?</v>
      </c>
    </row>
    <row r="301" spans="1:15" x14ac:dyDescent="0.25">
      <c r="A301" s="1" t="s">
        <v>313</v>
      </c>
      <c r="B301" s="2" t="e">
        <f ca="1">_xll.ESQuote("DEEPAKFERT.EQ-NSE","% Change")</f>
        <v>#NAME?</v>
      </c>
      <c r="C301" s="2" t="e">
        <f ca="1">_xll.ESQuote("DEEPAKFERT.EQ-NSE","Change")</f>
        <v>#NAME?</v>
      </c>
      <c r="D301" s="2" t="e">
        <f ca="1">_xll.ESQuote("DEEPAKFERT.EQ-NSE","Close")</f>
        <v>#NAME?</v>
      </c>
      <c r="E301" s="2" t="e">
        <f ca="1">_xll.ESQuote("DEEPAKFERT.EQ-NSE","Company")</f>
        <v>#NAME?</v>
      </c>
      <c r="F301" s="2" t="e">
        <f ca="1">_xll.ESQuote("DEEPAKFERT.EQ-NSE","Description")</f>
        <v>#NAME?</v>
      </c>
      <c r="G301" s="2" t="e">
        <f ca="1">_xll.ESQuote("DEEPAKFERT.EQ-NSE","Exchange")</f>
        <v>#NAME?</v>
      </c>
      <c r="H301" s="2" t="e">
        <f ca="1">_xll.ESQuote("DEEPAKFERT.EQ-NSE","High")</f>
        <v>#NAME?</v>
      </c>
      <c r="I301" s="2" t="e">
        <f ca="1">_xll.ESQuote("DEEPAKFERT.EQ-NSE","Last")</f>
        <v>#NAME?</v>
      </c>
      <c r="J301" s="4" t="e">
        <f ca="1">_xll.ESQuote("DEEPAKFERT.EQ-NSE","Last_Time")</f>
        <v>#NAME?</v>
      </c>
      <c r="K301" s="2" t="e">
        <f ca="1">_xll.ESQuote("DEEPAKFERT.EQ-NSE","Low")</f>
        <v>#NAME?</v>
      </c>
      <c r="L301" s="2" t="e">
        <f ca="1">_xll.ESQuote("DEEPAKFERT.EQ-NSE","Open")</f>
        <v>#NAME?</v>
      </c>
      <c r="M301" s="2" t="e">
        <f ca="1">_xll.ESQuote("DEEPAKFERT.EQ-NSE","PrevPrice")</f>
        <v>#NAME?</v>
      </c>
      <c r="N301" s="2" t="e">
        <f ca="1">_xll.ESQuote("DEEPAKFERT.EQ-NSE","Symbol")</f>
        <v>#NAME?</v>
      </c>
      <c r="O301" s="2" t="e">
        <f ca="1">_xll.ESQuote("DEEPAKFERT.EQ-NSE","Volume")</f>
        <v>#NAME?</v>
      </c>
    </row>
    <row r="302" spans="1:15" x14ac:dyDescent="0.25">
      <c r="A302" s="1" t="s">
        <v>314</v>
      </c>
      <c r="B302" s="2" t="e">
        <f ca="1">_xll.ESQuote("DEEPAKNTR.EQ-NSE","% Change")</f>
        <v>#NAME?</v>
      </c>
      <c r="C302" s="2" t="e">
        <f ca="1">_xll.ESQuote("DEEPAKNTR.EQ-NSE","Change")</f>
        <v>#NAME?</v>
      </c>
      <c r="D302" s="2" t="e">
        <f ca="1">_xll.ESQuote("DEEPAKNTR.EQ-NSE","Close")</f>
        <v>#NAME?</v>
      </c>
      <c r="E302" s="2" t="e">
        <f ca="1">_xll.ESQuote("DEEPAKNTR.EQ-NSE","Company")</f>
        <v>#NAME?</v>
      </c>
      <c r="F302" s="2" t="e">
        <f ca="1">_xll.ESQuote("DEEPAKNTR.EQ-NSE","Description")</f>
        <v>#NAME?</v>
      </c>
      <c r="G302" s="2" t="e">
        <f ca="1">_xll.ESQuote("DEEPAKNTR.EQ-NSE","Exchange")</f>
        <v>#NAME?</v>
      </c>
      <c r="H302" s="2" t="e">
        <f ca="1">_xll.ESQuote("DEEPAKNTR.EQ-NSE","High")</f>
        <v>#NAME?</v>
      </c>
      <c r="I302" s="2" t="e">
        <f ca="1">_xll.ESQuote("DEEPAKNTR.EQ-NSE","Last")</f>
        <v>#NAME?</v>
      </c>
      <c r="J302" s="4" t="e">
        <f ca="1">_xll.ESQuote("DEEPAKNTR.EQ-NSE","Last_Time")</f>
        <v>#NAME?</v>
      </c>
      <c r="K302" s="2" t="e">
        <f ca="1">_xll.ESQuote("DEEPAKNTR.EQ-NSE","Low")</f>
        <v>#NAME?</v>
      </c>
      <c r="L302" s="2" t="e">
        <f ca="1">_xll.ESQuote("DEEPAKNTR.EQ-NSE","Open")</f>
        <v>#NAME?</v>
      </c>
      <c r="M302" s="2" t="e">
        <f ca="1">_xll.ESQuote("DEEPAKNTR.EQ-NSE","PrevPrice")</f>
        <v>#NAME?</v>
      </c>
      <c r="N302" s="2" t="e">
        <f ca="1">_xll.ESQuote("DEEPAKNTR.EQ-NSE","Symbol")</f>
        <v>#NAME?</v>
      </c>
      <c r="O302" s="2" t="e">
        <f ca="1">_xll.ESQuote("DEEPAKNTR.EQ-NSE","Volume")</f>
        <v>#NAME?</v>
      </c>
    </row>
    <row r="303" spans="1:15" x14ac:dyDescent="0.25">
      <c r="A303" s="1" t="s">
        <v>315</v>
      </c>
      <c r="B303" s="2" t="e">
        <f ca="1">_xll.ESQuote("DEEPIND.EQ-NSE","% Change")</f>
        <v>#NAME?</v>
      </c>
      <c r="C303" s="2" t="e">
        <f ca="1">_xll.ESQuote("DEEPIND.EQ-NSE","Change")</f>
        <v>#NAME?</v>
      </c>
      <c r="D303" s="2" t="e">
        <f ca="1">_xll.ESQuote("DEEPIND.EQ-NSE","Close")</f>
        <v>#NAME?</v>
      </c>
      <c r="E303" s="2" t="e">
        <f ca="1">_xll.ESQuote("DEEPIND.EQ-NSE","Company")</f>
        <v>#NAME?</v>
      </c>
      <c r="F303" s="2" t="e">
        <f ca="1">_xll.ESQuote("DEEPIND.EQ-NSE","Description")</f>
        <v>#NAME?</v>
      </c>
      <c r="G303" s="2" t="e">
        <f ca="1">_xll.ESQuote("DEEPIND.EQ-NSE","Exchange")</f>
        <v>#NAME?</v>
      </c>
      <c r="H303" s="2" t="e">
        <f ca="1">_xll.ESQuote("DEEPIND.EQ-NSE","High")</f>
        <v>#NAME?</v>
      </c>
      <c r="I303" s="2" t="e">
        <f ca="1">_xll.ESQuote("DEEPIND.EQ-NSE","Last")</f>
        <v>#NAME?</v>
      </c>
      <c r="J303" s="4" t="e">
        <f ca="1">_xll.ESQuote("DEEPIND.EQ-NSE","Last_Time")</f>
        <v>#NAME?</v>
      </c>
      <c r="K303" s="2" t="e">
        <f ca="1">_xll.ESQuote("DEEPIND.EQ-NSE","Low")</f>
        <v>#NAME?</v>
      </c>
      <c r="L303" s="2" t="e">
        <f ca="1">_xll.ESQuote("DEEPIND.EQ-NSE","Open")</f>
        <v>#NAME?</v>
      </c>
      <c r="M303" s="2" t="e">
        <f ca="1">_xll.ESQuote("DEEPIND.EQ-NSE","PrevPrice")</f>
        <v>#NAME?</v>
      </c>
      <c r="N303" s="2" t="e">
        <f ca="1">_xll.ESQuote("DEEPIND.EQ-NSE","Symbol")</f>
        <v>#NAME?</v>
      </c>
      <c r="O303" s="2" t="e">
        <f ca="1">_xll.ESQuote("DEEPIND.EQ-NSE","Volume")</f>
        <v>#NAME?</v>
      </c>
    </row>
    <row r="304" spans="1:15" x14ac:dyDescent="0.25">
      <c r="A304" s="1" t="s">
        <v>316</v>
      </c>
      <c r="B304" s="2" t="e">
        <f ca="1">_xll.ESQuote("DELTACORP.EQ-NSE","% Change")</f>
        <v>#NAME?</v>
      </c>
      <c r="C304" s="2" t="e">
        <f ca="1">_xll.ESQuote("DELTACORP.EQ-NSE","Change")</f>
        <v>#NAME?</v>
      </c>
      <c r="D304" s="2" t="e">
        <f ca="1">_xll.ESQuote("DELTACORP.EQ-NSE","Close")</f>
        <v>#NAME?</v>
      </c>
      <c r="E304" s="2" t="e">
        <f ca="1">_xll.ESQuote("DELTACORP.EQ-NSE","Company")</f>
        <v>#NAME?</v>
      </c>
      <c r="F304" s="2" t="e">
        <f ca="1">_xll.ESQuote("DELTACORP.EQ-NSE","Description")</f>
        <v>#NAME?</v>
      </c>
      <c r="G304" s="2" t="e">
        <f ca="1">_xll.ESQuote("DELTACORP.EQ-NSE","Exchange")</f>
        <v>#NAME?</v>
      </c>
      <c r="H304" s="2" t="e">
        <f ca="1">_xll.ESQuote("DELTACORP.EQ-NSE","High")</f>
        <v>#NAME?</v>
      </c>
      <c r="I304" s="2" t="e">
        <f ca="1">_xll.ESQuote("DELTACORP.EQ-NSE","Last")</f>
        <v>#NAME?</v>
      </c>
      <c r="J304" s="4" t="e">
        <f ca="1">_xll.ESQuote("DELTACORP.EQ-NSE","Last_Time")</f>
        <v>#NAME?</v>
      </c>
      <c r="K304" s="2" t="e">
        <f ca="1">_xll.ESQuote("DELTACORP.EQ-NSE","Low")</f>
        <v>#NAME?</v>
      </c>
      <c r="L304" s="2" t="e">
        <f ca="1">_xll.ESQuote("DELTACORP.EQ-NSE","Open")</f>
        <v>#NAME?</v>
      </c>
      <c r="M304" s="2" t="e">
        <f ca="1">_xll.ESQuote("DELTACORP.EQ-NSE","PrevPrice")</f>
        <v>#NAME?</v>
      </c>
      <c r="N304" s="2" t="e">
        <f ca="1">_xll.ESQuote("DELTACORP.EQ-NSE","Symbol")</f>
        <v>#NAME?</v>
      </c>
      <c r="O304" s="2" t="e">
        <f ca="1">_xll.ESQuote("DELTACORP.EQ-NSE","Volume")</f>
        <v>#NAME?</v>
      </c>
    </row>
    <row r="305" spans="1:15" x14ac:dyDescent="0.25">
      <c r="A305" s="1" t="s">
        <v>317</v>
      </c>
      <c r="B305" s="2" t="e">
        <f ca="1">_xll.ESQuote("DELTAMAGNT.EQ-NSE","% Change")</f>
        <v>#NAME?</v>
      </c>
      <c r="C305" s="2" t="e">
        <f ca="1">_xll.ESQuote("DELTAMAGNT.EQ-NSE","Change")</f>
        <v>#NAME?</v>
      </c>
      <c r="D305" s="2" t="e">
        <f ca="1">_xll.ESQuote("DELTAMAGNT.EQ-NSE","Close")</f>
        <v>#NAME?</v>
      </c>
      <c r="E305" s="2" t="e">
        <f ca="1">_xll.ESQuote("DELTAMAGNT.EQ-NSE","Company")</f>
        <v>#NAME?</v>
      </c>
      <c r="F305" s="2" t="e">
        <f ca="1">_xll.ESQuote("DELTAMAGNT.EQ-NSE","Description")</f>
        <v>#NAME?</v>
      </c>
      <c r="G305" s="2" t="e">
        <f ca="1">_xll.ESQuote("DELTAMAGNT.EQ-NSE","Exchange")</f>
        <v>#NAME?</v>
      </c>
      <c r="H305" s="2" t="e">
        <f ca="1">_xll.ESQuote("DELTAMAGNT.EQ-NSE","High")</f>
        <v>#NAME?</v>
      </c>
      <c r="I305" s="2" t="e">
        <f ca="1">_xll.ESQuote("DELTAMAGNT.EQ-NSE","Last")</f>
        <v>#NAME?</v>
      </c>
      <c r="J305" s="4" t="e">
        <f ca="1">_xll.ESQuote("DELTAMAGNT.EQ-NSE","Last_Time")</f>
        <v>#NAME?</v>
      </c>
      <c r="K305" s="2" t="e">
        <f ca="1">_xll.ESQuote("DELTAMAGNT.EQ-NSE","Low")</f>
        <v>#NAME?</v>
      </c>
      <c r="L305" s="2" t="e">
        <f ca="1">_xll.ESQuote("DELTAMAGNT.EQ-NSE","Open")</f>
        <v>#NAME?</v>
      </c>
      <c r="M305" s="2" t="e">
        <f ca="1">_xll.ESQuote("DELTAMAGNT.EQ-NSE","PrevPrice")</f>
        <v>#NAME?</v>
      </c>
      <c r="N305" s="2" t="e">
        <f ca="1">_xll.ESQuote("DELTAMAGNT.EQ-NSE","Symbol")</f>
        <v>#NAME?</v>
      </c>
      <c r="O305" s="2" t="e">
        <f ca="1">_xll.ESQuote("DELTAMAGNT.EQ-NSE","Volume")</f>
        <v>#NAME?</v>
      </c>
    </row>
    <row r="306" spans="1:15" x14ac:dyDescent="0.25">
      <c r="A306" s="1" t="s">
        <v>318</v>
      </c>
      <c r="B306" s="2" t="e">
        <f ca="1">_xll.ESQuote("DEN.EQ-NSE","% Change")</f>
        <v>#NAME?</v>
      </c>
      <c r="C306" s="2" t="e">
        <f ca="1">_xll.ESQuote("DEN.EQ-NSE","Change")</f>
        <v>#NAME?</v>
      </c>
      <c r="D306" s="2" t="e">
        <f ca="1">_xll.ESQuote("DEN.EQ-NSE","Close")</f>
        <v>#NAME?</v>
      </c>
      <c r="E306" s="2" t="e">
        <f ca="1">_xll.ESQuote("DEN.EQ-NSE","Company")</f>
        <v>#NAME?</v>
      </c>
      <c r="F306" s="2" t="e">
        <f ca="1">_xll.ESQuote("DEN.EQ-NSE","Description")</f>
        <v>#NAME?</v>
      </c>
      <c r="G306" s="2" t="e">
        <f ca="1">_xll.ESQuote("DEN.EQ-NSE","Exchange")</f>
        <v>#NAME?</v>
      </c>
      <c r="H306" s="2" t="e">
        <f ca="1">_xll.ESQuote("DEN.EQ-NSE","High")</f>
        <v>#NAME?</v>
      </c>
      <c r="I306" s="2" t="e">
        <f ca="1">_xll.ESQuote("DEN.EQ-NSE","Last")</f>
        <v>#NAME?</v>
      </c>
      <c r="J306" s="4" t="e">
        <f ca="1">_xll.ESQuote("DEN.EQ-NSE","Last_Time")</f>
        <v>#NAME?</v>
      </c>
      <c r="K306" s="2" t="e">
        <f ca="1">_xll.ESQuote("DEN.EQ-NSE","Low")</f>
        <v>#NAME?</v>
      </c>
      <c r="L306" s="2" t="e">
        <f ca="1">_xll.ESQuote("DEN.EQ-NSE","Open")</f>
        <v>#NAME?</v>
      </c>
      <c r="M306" s="2" t="e">
        <f ca="1">_xll.ESQuote("DEN.EQ-NSE","PrevPrice")</f>
        <v>#NAME?</v>
      </c>
      <c r="N306" s="2" t="e">
        <f ca="1">_xll.ESQuote("DEN.EQ-NSE","Symbol")</f>
        <v>#NAME?</v>
      </c>
      <c r="O306" s="2" t="e">
        <f ca="1">_xll.ESQuote("DEN.EQ-NSE","Volume")</f>
        <v>#NAME?</v>
      </c>
    </row>
    <row r="307" spans="1:15" x14ac:dyDescent="0.25">
      <c r="A307" s="1" t="s">
        <v>319</v>
      </c>
      <c r="B307" s="2" t="e">
        <f ca="1">_xll.ESQuote("DENABANK.EQ-NSE","% Change")</f>
        <v>#NAME?</v>
      </c>
      <c r="C307" s="2" t="e">
        <f ca="1">_xll.ESQuote("DENABANK.EQ-NSE","Change")</f>
        <v>#NAME?</v>
      </c>
      <c r="D307" s="2" t="e">
        <f ca="1">_xll.ESQuote("DENABANK.EQ-NSE","Close")</f>
        <v>#NAME?</v>
      </c>
      <c r="E307" s="2" t="e">
        <f ca="1">_xll.ESQuote("DENABANK.EQ-NSE","Company")</f>
        <v>#NAME?</v>
      </c>
      <c r="F307" s="2" t="e">
        <f ca="1">_xll.ESQuote("DENABANK.EQ-NSE","Description")</f>
        <v>#NAME?</v>
      </c>
      <c r="G307" s="2" t="e">
        <f ca="1">_xll.ESQuote("DENABANK.EQ-NSE","Exchange")</f>
        <v>#NAME?</v>
      </c>
      <c r="H307" s="2" t="e">
        <f ca="1">_xll.ESQuote("DENABANK.EQ-NSE","High")</f>
        <v>#NAME?</v>
      </c>
      <c r="I307" s="2" t="e">
        <f ca="1">_xll.ESQuote("DENABANK.EQ-NSE","Last")</f>
        <v>#NAME?</v>
      </c>
      <c r="J307" s="4" t="e">
        <f ca="1">_xll.ESQuote("DENABANK.EQ-NSE","Last_Time")</f>
        <v>#NAME?</v>
      </c>
      <c r="K307" s="2" t="e">
        <f ca="1">_xll.ESQuote("DENABANK.EQ-NSE","Low")</f>
        <v>#NAME?</v>
      </c>
      <c r="L307" s="2" t="e">
        <f ca="1">_xll.ESQuote("DENABANK.EQ-NSE","Open")</f>
        <v>#NAME?</v>
      </c>
      <c r="M307" s="2" t="e">
        <f ca="1">_xll.ESQuote("DENABANK.EQ-NSE","PrevPrice")</f>
        <v>#NAME?</v>
      </c>
      <c r="N307" s="2" t="e">
        <f ca="1">_xll.ESQuote("DENABANK.EQ-NSE","Symbol")</f>
        <v>#NAME?</v>
      </c>
      <c r="O307" s="2" t="e">
        <f ca="1">_xll.ESQuote("DENABANK.EQ-NSE","Volume")</f>
        <v>#NAME?</v>
      </c>
    </row>
    <row r="308" spans="1:15" x14ac:dyDescent="0.25">
      <c r="A308" s="1" t="s">
        <v>320</v>
      </c>
      <c r="B308" s="2" t="e">
        <f ca="1">_xll.ESQuote("DENORA.EQ-NSE","% Change")</f>
        <v>#NAME?</v>
      </c>
      <c r="C308" s="2" t="e">
        <f ca="1">_xll.ESQuote("DENORA.EQ-NSE","Change")</f>
        <v>#NAME?</v>
      </c>
      <c r="D308" s="2" t="e">
        <f ca="1">_xll.ESQuote("DENORA.EQ-NSE","Close")</f>
        <v>#NAME?</v>
      </c>
      <c r="E308" s="2" t="e">
        <f ca="1">_xll.ESQuote("DENORA.EQ-NSE","Company")</f>
        <v>#NAME?</v>
      </c>
      <c r="F308" s="2" t="e">
        <f ca="1">_xll.ESQuote("DENORA.EQ-NSE","Description")</f>
        <v>#NAME?</v>
      </c>
      <c r="G308" s="2" t="e">
        <f ca="1">_xll.ESQuote("DENORA.EQ-NSE","Exchange")</f>
        <v>#NAME?</v>
      </c>
      <c r="H308" s="2" t="e">
        <f ca="1">_xll.ESQuote("DENORA.EQ-NSE","High")</f>
        <v>#NAME?</v>
      </c>
      <c r="I308" s="2" t="e">
        <f ca="1">_xll.ESQuote("DENORA.EQ-NSE","Last")</f>
        <v>#NAME?</v>
      </c>
      <c r="J308" s="4" t="e">
        <f ca="1">_xll.ESQuote("DENORA.EQ-NSE","Last_Time")</f>
        <v>#NAME?</v>
      </c>
      <c r="K308" s="2" t="e">
        <f ca="1">_xll.ESQuote("DENORA.EQ-NSE","Low")</f>
        <v>#NAME?</v>
      </c>
      <c r="L308" s="2" t="e">
        <f ca="1">_xll.ESQuote("DENORA.EQ-NSE","Open")</f>
        <v>#NAME?</v>
      </c>
      <c r="M308" s="2" t="e">
        <f ca="1">_xll.ESQuote("DENORA.EQ-NSE","PrevPrice")</f>
        <v>#NAME?</v>
      </c>
      <c r="N308" s="2" t="e">
        <f ca="1">_xll.ESQuote("DENORA.EQ-NSE","Symbol")</f>
        <v>#NAME?</v>
      </c>
      <c r="O308" s="2" t="e">
        <f ca="1">_xll.ESQuote("DENORA.EQ-NSE","Volume")</f>
        <v>#NAME?</v>
      </c>
    </row>
    <row r="309" spans="1:15" x14ac:dyDescent="0.25">
      <c r="J309"/>
    </row>
    <row r="310" spans="1:15" x14ac:dyDescent="0.25">
      <c r="J310"/>
    </row>
    <row r="311" spans="1:15" x14ac:dyDescent="0.25">
      <c r="J311"/>
    </row>
    <row r="312" spans="1:15" x14ac:dyDescent="0.25">
      <c r="J312"/>
    </row>
    <row r="313" spans="1:15" x14ac:dyDescent="0.25">
      <c r="J313"/>
    </row>
    <row r="314" spans="1:15" x14ac:dyDescent="0.25">
      <c r="J314"/>
    </row>
    <row r="315" spans="1:15" x14ac:dyDescent="0.25">
      <c r="J315"/>
    </row>
    <row r="316" spans="1:15" x14ac:dyDescent="0.25">
      <c r="J316"/>
    </row>
    <row r="317" spans="1:15" x14ac:dyDescent="0.25">
      <c r="J317"/>
    </row>
    <row r="318" spans="1:15" x14ac:dyDescent="0.25">
      <c r="J318"/>
    </row>
    <row r="319" spans="1:15" x14ac:dyDescent="0.25">
      <c r="J319"/>
    </row>
    <row r="320" spans="1:15" x14ac:dyDescent="0.25">
      <c r="J320"/>
    </row>
    <row r="321" spans="10:10" x14ac:dyDescent="0.25">
      <c r="J321"/>
    </row>
    <row r="322" spans="10:10" x14ac:dyDescent="0.25">
      <c r="J322"/>
    </row>
    <row r="323" spans="10:10" x14ac:dyDescent="0.25">
      <c r="J323"/>
    </row>
    <row r="324" spans="10:10" x14ac:dyDescent="0.25">
      <c r="J324"/>
    </row>
    <row r="325" spans="10:10" x14ac:dyDescent="0.25">
      <c r="J325"/>
    </row>
    <row r="326" spans="10:10" x14ac:dyDescent="0.25">
      <c r="J326"/>
    </row>
    <row r="327" spans="10:10" x14ac:dyDescent="0.25">
      <c r="J327"/>
    </row>
    <row r="328" spans="10:10" x14ac:dyDescent="0.25">
      <c r="J328"/>
    </row>
    <row r="329" spans="10:10" x14ac:dyDescent="0.25">
      <c r="J329"/>
    </row>
    <row r="330" spans="10:10" x14ac:dyDescent="0.25">
      <c r="J330"/>
    </row>
    <row r="331" spans="10:10" x14ac:dyDescent="0.25">
      <c r="J331"/>
    </row>
    <row r="332" spans="10:10" x14ac:dyDescent="0.25">
      <c r="J332"/>
    </row>
    <row r="333" spans="10:10" x14ac:dyDescent="0.25">
      <c r="J333"/>
    </row>
    <row r="334" spans="10:10" x14ac:dyDescent="0.25">
      <c r="J334"/>
    </row>
    <row r="335" spans="10:10" x14ac:dyDescent="0.25">
      <c r="J335"/>
    </row>
    <row r="336" spans="10:10" x14ac:dyDescent="0.25">
      <c r="J336"/>
    </row>
    <row r="337" spans="10:10" x14ac:dyDescent="0.25">
      <c r="J337"/>
    </row>
    <row r="338" spans="10:10" x14ac:dyDescent="0.25">
      <c r="J338"/>
    </row>
    <row r="339" spans="10:10" x14ac:dyDescent="0.25">
      <c r="J339"/>
    </row>
    <row r="340" spans="10:10" x14ac:dyDescent="0.25">
      <c r="J340"/>
    </row>
    <row r="341" spans="10:10" x14ac:dyDescent="0.25">
      <c r="J341"/>
    </row>
    <row r="342" spans="10:10" x14ac:dyDescent="0.25">
      <c r="J342"/>
    </row>
    <row r="343" spans="10:10" x14ac:dyDescent="0.25">
      <c r="J343"/>
    </row>
    <row r="344" spans="10:10" x14ac:dyDescent="0.25">
      <c r="J344"/>
    </row>
    <row r="345" spans="10:10" x14ac:dyDescent="0.25">
      <c r="J345"/>
    </row>
    <row r="346" spans="10:10" x14ac:dyDescent="0.25">
      <c r="J346"/>
    </row>
    <row r="347" spans="10:10" x14ac:dyDescent="0.25">
      <c r="J347"/>
    </row>
    <row r="348" spans="10:10" x14ac:dyDescent="0.25">
      <c r="J348"/>
    </row>
    <row r="349" spans="10:10" x14ac:dyDescent="0.25">
      <c r="J349"/>
    </row>
    <row r="350" spans="10:10" x14ac:dyDescent="0.25">
      <c r="J350"/>
    </row>
    <row r="351" spans="10:10" x14ac:dyDescent="0.25">
      <c r="J351"/>
    </row>
    <row r="352" spans="10:10" x14ac:dyDescent="0.25">
      <c r="J352"/>
    </row>
    <row r="353" spans="10:10" x14ac:dyDescent="0.25">
      <c r="J353"/>
    </row>
    <row r="354" spans="10:10" x14ac:dyDescent="0.25">
      <c r="J354"/>
    </row>
    <row r="355" spans="10:10" x14ac:dyDescent="0.25">
      <c r="J355"/>
    </row>
    <row r="356" spans="10:10" x14ac:dyDescent="0.25">
      <c r="J356"/>
    </row>
    <row r="357" spans="10:10" x14ac:dyDescent="0.25">
      <c r="J357"/>
    </row>
    <row r="358" spans="10:10" x14ac:dyDescent="0.25">
      <c r="J358"/>
    </row>
    <row r="359" spans="10:10" x14ac:dyDescent="0.25">
      <c r="J359"/>
    </row>
    <row r="360" spans="10:10" x14ac:dyDescent="0.25">
      <c r="J360"/>
    </row>
    <row r="361" spans="10:10" x14ac:dyDescent="0.25">
      <c r="J361"/>
    </row>
    <row r="362" spans="10:10" x14ac:dyDescent="0.25">
      <c r="J362"/>
    </row>
    <row r="363" spans="10:10" x14ac:dyDescent="0.25">
      <c r="J363"/>
    </row>
    <row r="364" spans="10:10" x14ac:dyDescent="0.25">
      <c r="J364"/>
    </row>
    <row r="365" spans="10:10" x14ac:dyDescent="0.25">
      <c r="J365"/>
    </row>
    <row r="366" spans="10:10" x14ac:dyDescent="0.25">
      <c r="J366"/>
    </row>
    <row r="367" spans="10:10" x14ac:dyDescent="0.25">
      <c r="J367"/>
    </row>
    <row r="368" spans="10:10" x14ac:dyDescent="0.25">
      <c r="J368"/>
    </row>
    <row r="369" spans="10:10" x14ac:dyDescent="0.25">
      <c r="J369"/>
    </row>
    <row r="370" spans="10:10" x14ac:dyDescent="0.25">
      <c r="J370"/>
    </row>
    <row r="371" spans="10:10" x14ac:dyDescent="0.25">
      <c r="J371"/>
    </row>
    <row r="372" spans="10:10" x14ac:dyDescent="0.25">
      <c r="J372"/>
    </row>
    <row r="373" spans="10:10" x14ac:dyDescent="0.25">
      <c r="J373"/>
    </row>
    <row r="374" spans="10:10" x14ac:dyDescent="0.25">
      <c r="J374"/>
    </row>
    <row r="375" spans="10:10" x14ac:dyDescent="0.25">
      <c r="J375"/>
    </row>
    <row r="376" spans="10:10" x14ac:dyDescent="0.25">
      <c r="J376"/>
    </row>
    <row r="377" spans="10:10" x14ac:dyDescent="0.25">
      <c r="J377"/>
    </row>
    <row r="378" spans="10:10" x14ac:dyDescent="0.25">
      <c r="J378"/>
    </row>
    <row r="379" spans="10:10" x14ac:dyDescent="0.25">
      <c r="J379"/>
    </row>
    <row r="380" spans="10:10" x14ac:dyDescent="0.25">
      <c r="J380"/>
    </row>
    <row r="381" spans="10:10" x14ac:dyDescent="0.25">
      <c r="J381"/>
    </row>
    <row r="382" spans="10:10" x14ac:dyDescent="0.25">
      <c r="J382"/>
    </row>
    <row r="383" spans="10:10" x14ac:dyDescent="0.25">
      <c r="J383"/>
    </row>
    <row r="384" spans="10:10" x14ac:dyDescent="0.25">
      <c r="J384"/>
    </row>
    <row r="385" spans="10:10" x14ac:dyDescent="0.25">
      <c r="J385"/>
    </row>
    <row r="386" spans="10:10" x14ac:dyDescent="0.25">
      <c r="J386"/>
    </row>
    <row r="387" spans="10:10" x14ac:dyDescent="0.25">
      <c r="J387"/>
    </row>
    <row r="388" spans="10:10" x14ac:dyDescent="0.25">
      <c r="J388"/>
    </row>
    <row r="389" spans="10:10" x14ac:dyDescent="0.25">
      <c r="J389"/>
    </row>
    <row r="390" spans="10:10" x14ac:dyDescent="0.25">
      <c r="J390"/>
    </row>
    <row r="391" spans="10:10" x14ac:dyDescent="0.25">
      <c r="J391"/>
    </row>
    <row r="392" spans="10:10" x14ac:dyDescent="0.25">
      <c r="J392"/>
    </row>
    <row r="393" spans="10:10" x14ac:dyDescent="0.25">
      <c r="J393"/>
    </row>
    <row r="394" spans="10:10" x14ac:dyDescent="0.25">
      <c r="J394"/>
    </row>
    <row r="395" spans="10:10" x14ac:dyDescent="0.25">
      <c r="J395"/>
    </row>
    <row r="396" spans="10:10" x14ac:dyDescent="0.25">
      <c r="J396"/>
    </row>
    <row r="397" spans="10:10" x14ac:dyDescent="0.25">
      <c r="J397"/>
    </row>
    <row r="398" spans="10:10" x14ac:dyDescent="0.25">
      <c r="J398"/>
    </row>
    <row r="399" spans="10:10" x14ac:dyDescent="0.25">
      <c r="J399"/>
    </row>
    <row r="400" spans="10:10" x14ac:dyDescent="0.25">
      <c r="J400"/>
    </row>
    <row r="401" spans="10:10" x14ac:dyDescent="0.25">
      <c r="J401"/>
    </row>
    <row r="402" spans="10:10" x14ac:dyDescent="0.25">
      <c r="J402"/>
    </row>
    <row r="403" spans="10:10" x14ac:dyDescent="0.25">
      <c r="J403"/>
    </row>
    <row r="404" spans="10:10" x14ac:dyDescent="0.25">
      <c r="J404"/>
    </row>
    <row r="405" spans="10:10" x14ac:dyDescent="0.25">
      <c r="J405"/>
    </row>
    <row r="406" spans="10:10" x14ac:dyDescent="0.25">
      <c r="J406"/>
    </row>
    <row r="407" spans="10:10" x14ac:dyDescent="0.25">
      <c r="J407"/>
    </row>
    <row r="408" spans="10:10" x14ac:dyDescent="0.25">
      <c r="J408"/>
    </row>
    <row r="409" spans="10:10" x14ac:dyDescent="0.25">
      <c r="J409"/>
    </row>
    <row r="410" spans="10:10" x14ac:dyDescent="0.25">
      <c r="J410"/>
    </row>
    <row r="411" spans="10:10" x14ac:dyDescent="0.25">
      <c r="J411"/>
    </row>
    <row r="412" spans="10:10" x14ac:dyDescent="0.25">
      <c r="J412"/>
    </row>
    <row r="413" spans="10:10" x14ac:dyDescent="0.25">
      <c r="J413"/>
    </row>
    <row r="414" spans="10:10" x14ac:dyDescent="0.25">
      <c r="J414"/>
    </row>
    <row r="415" spans="10:10" x14ac:dyDescent="0.25">
      <c r="J415"/>
    </row>
    <row r="416" spans="10:10" x14ac:dyDescent="0.25">
      <c r="J416"/>
    </row>
    <row r="417" spans="10:10" x14ac:dyDescent="0.25">
      <c r="J417"/>
    </row>
    <row r="418" spans="10:10" x14ac:dyDescent="0.25">
      <c r="J418"/>
    </row>
    <row r="419" spans="10:10" x14ac:dyDescent="0.25">
      <c r="J419"/>
    </row>
    <row r="420" spans="10:10" x14ac:dyDescent="0.25">
      <c r="J420"/>
    </row>
    <row r="421" spans="10:10" x14ac:dyDescent="0.25">
      <c r="J421"/>
    </row>
    <row r="422" spans="10:10" x14ac:dyDescent="0.25">
      <c r="J422"/>
    </row>
    <row r="423" spans="10:10" x14ac:dyDescent="0.25">
      <c r="J423"/>
    </row>
    <row r="424" spans="10:10" x14ac:dyDescent="0.25">
      <c r="J424"/>
    </row>
    <row r="425" spans="10:10" x14ac:dyDescent="0.25">
      <c r="J425"/>
    </row>
    <row r="426" spans="10:10" x14ac:dyDescent="0.25">
      <c r="J426"/>
    </row>
    <row r="427" spans="10:10" x14ac:dyDescent="0.25">
      <c r="J427"/>
    </row>
    <row r="428" spans="10:10" x14ac:dyDescent="0.25">
      <c r="J428"/>
    </row>
    <row r="429" spans="10:10" x14ac:dyDescent="0.25">
      <c r="J429"/>
    </row>
    <row r="430" spans="10:10" x14ac:dyDescent="0.25">
      <c r="J430"/>
    </row>
    <row r="431" spans="10:10" x14ac:dyDescent="0.25">
      <c r="J431"/>
    </row>
    <row r="432" spans="10:10" x14ac:dyDescent="0.25">
      <c r="J432"/>
    </row>
    <row r="433" spans="10:10" x14ac:dyDescent="0.25">
      <c r="J433"/>
    </row>
    <row r="434" spans="10:10" x14ac:dyDescent="0.25">
      <c r="J434"/>
    </row>
    <row r="435" spans="10:10" x14ac:dyDescent="0.25">
      <c r="J435"/>
    </row>
    <row r="436" spans="10:10" x14ac:dyDescent="0.25">
      <c r="J436"/>
    </row>
    <row r="437" spans="10:10" x14ac:dyDescent="0.25">
      <c r="J437"/>
    </row>
    <row r="438" spans="10:10" x14ac:dyDescent="0.25">
      <c r="J438"/>
    </row>
    <row r="439" spans="10:10" x14ac:dyDescent="0.25">
      <c r="J439"/>
    </row>
    <row r="440" spans="10:10" x14ac:dyDescent="0.25">
      <c r="J440"/>
    </row>
    <row r="441" spans="10:10" x14ac:dyDescent="0.25">
      <c r="J441"/>
    </row>
    <row r="442" spans="10:10" x14ac:dyDescent="0.25">
      <c r="J442"/>
    </row>
    <row r="443" spans="10:10" x14ac:dyDescent="0.25">
      <c r="J443"/>
    </row>
    <row r="444" spans="10:10" x14ac:dyDescent="0.25">
      <c r="J444"/>
    </row>
    <row r="445" spans="10:10" x14ac:dyDescent="0.25">
      <c r="J445"/>
    </row>
    <row r="446" spans="10:10" x14ac:dyDescent="0.25">
      <c r="J446"/>
    </row>
    <row r="447" spans="10:10" x14ac:dyDescent="0.25">
      <c r="J447"/>
    </row>
    <row r="448" spans="10:10" x14ac:dyDescent="0.25">
      <c r="J448"/>
    </row>
    <row r="449" spans="10:10" x14ac:dyDescent="0.25">
      <c r="J449"/>
    </row>
    <row r="450" spans="10:10" x14ac:dyDescent="0.25">
      <c r="J450"/>
    </row>
    <row r="451" spans="10:10" x14ac:dyDescent="0.25">
      <c r="J451"/>
    </row>
    <row r="452" spans="10:10" x14ac:dyDescent="0.25">
      <c r="J452"/>
    </row>
    <row r="453" spans="10:10" x14ac:dyDescent="0.25">
      <c r="J453"/>
    </row>
    <row r="454" spans="10:10" x14ac:dyDescent="0.25">
      <c r="J454"/>
    </row>
    <row r="455" spans="10:10" x14ac:dyDescent="0.25">
      <c r="J455"/>
    </row>
    <row r="456" spans="10:10" x14ac:dyDescent="0.25">
      <c r="J456"/>
    </row>
    <row r="457" spans="10:10" x14ac:dyDescent="0.25">
      <c r="J457"/>
    </row>
    <row r="458" spans="10:10" x14ac:dyDescent="0.25">
      <c r="J458"/>
    </row>
    <row r="459" spans="10:10" x14ac:dyDescent="0.25">
      <c r="J459"/>
    </row>
    <row r="460" spans="10:10" x14ac:dyDescent="0.25">
      <c r="J460"/>
    </row>
    <row r="461" spans="10:10" x14ac:dyDescent="0.25">
      <c r="J461"/>
    </row>
    <row r="462" spans="10:10" x14ac:dyDescent="0.25">
      <c r="J462"/>
    </row>
    <row r="463" spans="10:10" x14ac:dyDescent="0.25">
      <c r="J463"/>
    </row>
    <row r="464" spans="10:10" x14ac:dyDescent="0.25">
      <c r="J464"/>
    </row>
    <row r="465" spans="10:10" x14ac:dyDescent="0.25">
      <c r="J465"/>
    </row>
    <row r="466" spans="10:10" x14ac:dyDescent="0.25">
      <c r="J466"/>
    </row>
    <row r="467" spans="10:10" x14ac:dyDescent="0.25">
      <c r="J467"/>
    </row>
    <row r="468" spans="10:10" x14ac:dyDescent="0.25">
      <c r="J468"/>
    </row>
    <row r="469" spans="10:10" x14ac:dyDescent="0.25">
      <c r="J469"/>
    </row>
    <row r="470" spans="10:10" x14ac:dyDescent="0.25">
      <c r="J470"/>
    </row>
    <row r="471" spans="10:10" x14ac:dyDescent="0.25">
      <c r="J471"/>
    </row>
    <row r="472" spans="10:10" x14ac:dyDescent="0.25">
      <c r="J472"/>
    </row>
    <row r="473" spans="10:10" x14ac:dyDescent="0.25">
      <c r="J473"/>
    </row>
    <row r="474" spans="10:10" x14ac:dyDescent="0.25">
      <c r="J474"/>
    </row>
    <row r="475" spans="10:10" x14ac:dyDescent="0.25">
      <c r="J475"/>
    </row>
    <row r="476" spans="10:10" x14ac:dyDescent="0.25">
      <c r="J476"/>
    </row>
    <row r="477" spans="10:10" x14ac:dyDescent="0.25">
      <c r="J477"/>
    </row>
    <row r="478" spans="10:10" x14ac:dyDescent="0.25">
      <c r="J478"/>
    </row>
    <row r="479" spans="10:10" x14ac:dyDescent="0.25">
      <c r="J479"/>
    </row>
    <row r="480" spans="10:10" x14ac:dyDescent="0.25">
      <c r="J480"/>
    </row>
    <row r="481" spans="10:10" x14ac:dyDescent="0.25">
      <c r="J481"/>
    </row>
    <row r="482" spans="10:10" x14ac:dyDescent="0.25">
      <c r="J482"/>
    </row>
    <row r="483" spans="10:10" x14ac:dyDescent="0.25">
      <c r="J483"/>
    </row>
    <row r="484" spans="10:10" x14ac:dyDescent="0.25">
      <c r="J484"/>
    </row>
    <row r="485" spans="10:10" x14ac:dyDescent="0.25">
      <c r="J485"/>
    </row>
    <row r="486" spans="10:10" x14ac:dyDescent="0.25">
      <c r="J486"/>
    </row>
    <row r="487" spans="10:10" x14ac:dyDescent="0.25">
      <c r="J487"/>
    </row>
    <row r="488" spans="10:10" x14ac:dyDescent="0.25">
      <c r="J488"/>
    </row>
    <row r="489" spans="10:10" x14ac:dyDescent="0.25">
      <c r="J489"/>
    </row>
    <row r="490" spans="10:10" x14ac:dyDescent="0.25">
      <c r="J490"/>
    </row>
    <row r="491" spans="10:10" x14ac:dyDescent="0.25">
      <c r="J491"/>
    </row>
    <row r="492" spans="10:10" x14ac:dyDescent="0.25">
      <c r="J492"/>
    </row>
    <row r="493" spans="10:10" x14ac:dyDescent="0.25">
      <c r="J493"/>
    </row>
    <row r="494" spans="10:10" x14ac:dyDescent="0.25">
      <c r="J494"/>
    </row>
    <row r="495" spans="10:10" x14ac:dyDescent="0.25">
      <c r="J495"/>
    </row>
    <row r="496" spans="10:10" x14ac:dyDescent="0.25">
      <c r="J496"/>
    </row>
    <row r="497" spans="10:10" x14ac:dyDescent="0.25">
      <c r="J497"/>
    </row>
    <row r="498" spans="10:10" x14ac:dyDescent="0.25">
      <c r="J498"/>
    </row>
    <row r="499" spans="10:10" x14ac:dyDescent="0.25">
      <c r="J499"/>
    </row>
    <row r="500" spans="10:10" x14ac:dyDescent="0.25">
      <c r="J500"/>
    </row>
    <row r="501" spans="10:10" x14ac:dyDescent="0.25">
      <c r="J501"/>
    </row>
    <row r="502" spans="10:10" x14ac:dyDescent="0.25">
      <c r="J502"/>
    </row>
    <row r="503" spans="10:10" x14ac:dyDescent="0.25">
      <c r="J503"/>
    </row>
    <row r="504" spans="10:10" x14ac:dyDescent="0.25">
      <c r="J504"/>
    </row>
    <row r="505" spans="10:10" x14ac:dyDescent="0.25">
      <c r="J505"/>
    </row>
    <row r="506" spans="10:10" x14ac:dyDescent="0.25">
      <c r="J506"/>
    </row>
    <row r="507" spans="10:10" x14ac:dyDescent="0.25">
      <c r="J507"/>
    </row>
    <row r="508" spans="10:10" x14ac:dyDescent="0.25">
      <c r="J508"/>
    </row>
    <row r="509" spans="10:10" x14ac:dyDescent="0.25">
      <c r="J509"/>
    </row>
    <row r="510" spans="10:10" x14ac:dyDescent="0.25">
      <c r="J510"/>
    </row>
    <row r="511" spans="10:10" x14ac:dyDescent="0.25">
      <c r="J511"/>
    </row>
    <row r="512" spans="10:10" x14ac:dyDescent="0.25">
      <c r="J512"/>
    </row>
    <row r="513" spans="10:10" x14ac:dyDescent="0.25">
      <c r="J513"/>
    </row>
    <row r="514" spans="10:10" x14ac:dyDescent="0.25">
      <c r="J514"/>
    </row>
    <row r="515" spans="10:10" x14ac:dyDescent="0.25">
      <c r="J515"/>
    </row>
    <row r="516" spans="10:10" x14ac:dyDescent="0.25">
      <c r="J516"/>
    </row>
    <row r="517" spans="10:10" x14ac:dyDescent="0.25">
      <c r="J517"/>
    </row>
    <row r="518" spans="10:10" x14ac:dyDescent="0.25">
      <c r="J518"/>
    </row>
    <row r="519" spans="10:10" x14ac:dyDescent="0.25">
      <c r="J519"/>
    </row>
    <row r="520" spans="10:10" x14ac:dyDescent="0.25">
      <c r="J520"/>
    </row>
    <row r="521" spans="10:10" x14ac:dyDescent="0.25">
      <c r="J521"/>
    </row>
    <row r="522" spans="10:10" x14ac:dyDescent="0.25">
      <c r="J522"/>
    </row>
    <row r="523" spans="10:10" x14ac:dyDescent="0.25">
      <c r="J523"/>
    </row>
    <row r="524" spans="10:10" x14ac:dyDescent="0.25">
      <c r="J524"/>
    </row>
    <row r="525" spans="10:10" x14ac:dyDescent="0.25">
      <c r="J525"/>
    </row>
    <row r="526" spans="10:10" x14ac:dyDescent="0.25">
      <c r="J526"/>
    </row>
    <row r="527" spans="10:10" x14ac:dyDescent="0.25">
      <c r="J527"/>
    </row>
    <row r="528" spans="10:10" x14ac:dyDescent="0.25">
      <c r="J528"/>
    </row>
    <row r="529" spans="10:10" x14ac:dyDescent="0.25">
      <c r="J529"/>
    </row>
    <row r="530" spans="10:10" x14ac:dyDescent="0.25">
      <c r="J530"/>
    </row>
    <row r="531" spans="10:10" x14ac:dyDescent="0.25">
      <c r="J531"/>
    </row>
    <row r="532" spans="10:10" x14ac:dyDescent="0.25">
      <c r="J532"/>
    </row>
    <row r="533" spans="10:10" x14ac:dyDescent="0.25">
      <c r="J533"/>
    </row>
    <row r="534" spans="10:10" x14ac:dyDescent="0.25">
      <c r="J534"/>
    </row>
    <row r="535" spans="10:10" x14ac:dyDescent="0.25">
      <c r="J535"/>
    </row>
    <row r="536" spans="10:10" x14ac:dyDescent="0.25">
      <c r="J536"/>
    </row>
    <row r="537" spans="10:10" x14ac:dyDescent="0.25">
      <c r="J537"/>
    </row>
    <row r="538" spans="10:10" x14ac:dyDescent="0.25">
      <c r="J538"/>
    </row>
    <row r="539" spans="10:10" x14ac:dyDescent="0.25">
      <c r="J539"/>
    </row>
    <row r="540" spans="10:10" x14ac:dyDescent="0.25">
      <c r="J540"/>
    </row>
    <row r="541" spans="10:10" x14ac:dyDescent="0.25">
      <c r="J541"/>
    </row>
    <row r="542" spans="10:10" x14ac:dyDescent="0.25">
      <c r="J542"/>
    </row>
    <row r="543" spans="10:10" x14ac:dyDescent="0.25">
      <c r="J543"/>
    </row>
    <row r="544" spans="10:10" x14ac:dyDescent="0.25">
      <c r="J544"/>
    </row>
    <row r="545" spans="10:10" x14ac:dyDescent="0.25">
      <c r="J545"/>
    </row>
    <row r="546" spans="10:10" x14ac:dyDescent="0.25">
      <c r="J546"/>
    </row>
    <row r="547" spans="10:10" x14ac:dyDescent="0.25">
      <c r="J547"/>
    </row>
    <row r="548" spans="10:10" x14ac:dyDescent="0.25">
      <c r="J548"/>
    </row>
    <row r="549" spans="10:10" x14ac:dyDescent="0.25">
      <c r="J549"/>
    </row>
    <row r="550" spans="10:10" x14ac:dyDescent="0.25">
      <c r="J550"/>
    </row>
    <row r="551" spans="10:10" x14ac:dyDescent="0.25">
      <c r="J551"/>
    </row>
    <row r="552" spans="10:10" x14ac:dyDescent="0.25">
      <c r="J552"/>
    </row>
    <row r="553" spans="10:10" x14ac:dyDescent="0.25">
      <c r="J553"/>
    </row>
    <row r="554" spans="10:10" x14ac:dyDescent="0.25">
      <c r="J554"/>
    </row>
    <row r="555" spans="10:10" x14ac:dyDescent="0.25">
      <c r="J555"/>
    </row>
    <row r="556" spans="10:10" x14ac:dyDescent="0.25">
      <c r="J556"/>
    </row>
    <row r="557" spans="10:10" x14ac:dyDescent="0.25">
      <c r="J557"/>
    </row>
    <row r="558" spans="10:10" x14ac:dyDescent="0.25">
      <c r="J558"/>
    </row>
    <row r="559" spans="10:10" x14ac:dyDescent="0.25">
      <c r="J559"/>
    </row>
    <row r="560" spans="10:10" x14ac:dyDescent="0.25">
      <c r="J560"/>
    </row>
    <row r="561" spans="10:10" x14ac:dyDescent="0.25">
      <c r="J561"/>
    </row>
    <row r="562" spans="10:10" x14ac:dyDescent="0.25">
      <c r="J562"/>
    </row>
    <row r="563" spans="10:10" x14ac:dyDescent="0.25">
      <c r="J563"/>
    </row>
    <row r="564" spans="10:10" x14ac:dyDescent="0.25">
      <c r="J564"/>
    </row>
    <row r="565" spans="10:10" x14ac:dyDescent="0.25">
      <c r="J565"/>
    </row>
    <row r="566" spans="10:10" x14ac:dyDescent="0.25">
      <c r="J566"/>
    </row>
    <row r="567" spans="10:10" x14ac:dyDescent="0.25">
      <c r="J567"/>
    </row>
    <row r="568" spans="10:10" x14ac:dyDescent="0.25">
      <c r="J568"/>
    </row>
    <row r="569" spans="10:10" x14ac:dyDescent="0.25">
      <c r="J569"/>
    </row>
    <row r="570" spans="10:10" x14ac:dyDescent="0.25">
      <c r="J570"/>
    </row>
    <row r="571" spans="10:10" x14ac:dyDescent="0.25">
      <c r="J571"/>
    </row>
    <row r="572" spans="10:10" x14ac:dyDescent="0.25">
      <c r="J572"/>
    </row>
    <row r="573" spans="10:10" x14ac:dyDescent="0.25">
      <c r="J573"/>
    </row>
    <row r="574" spans="10:10" x14ac:dyDescent="0.25">
      <c r="J574"/>
    </row>
    <row r="575" spans="10:10" x14ac:dyDescent="0.25">
      <c r="J575"/>
    </row>
    <row r="576" spans="10:10" x14ac:dyDescent="0.25">
      <c r="J576"/>
    </row>
    <row r="577" spans="10:10" x14ac:dyDescent="0.25">
      <c r="J577"/>
    </row>
    <row r="578" spans="10:10" x14ac:dyDescent="0.25">
      <c r="J578"/>
    </row>
    <row r="579" spans="10:10" x14ac:dyDescent="0.25">
      <c r="J579"/>
    </row>
    <row r="580" spans="10:10" x14ac:dyDescent="0.25">
      <c r="J580"/>
    </row>
    <row r="581" spans="10:10" x14ac:dyDescent="0.25">
      <c r="J581"/>
    </row>
    <row r="582" spans="10:10" x14ac:dyDescent="0.25">
      <c r="J582"/>
    </row>
    <row r="583" spans="10:10" x14ac:dyDescent="0.25">
      <c r="J583"/>
    </row>
    <row r="584" spans="10:10" x14ac:dyDescent="0.25">
      <c r="J584"/>
    </row>
    <row r="585" spans="10:10" x14ac:dyDescent="0.25">
      <c r="J585"/>
    </row>
    <row r="586" spans="10:10" x14ac:dyDescent="0.25">
      <c r="J586"/>
    </row>
    <row r="587" spans="10:10" x14ac:dyDescent="0.25">
      <c r="J587"/>
    </row>
    <row r="588" spans="10:10" x14ac:dyDescent="0.25">
      <c r="J588"/>
    </row>
    <row r="589" spans="10:10" x14ac:dyDescent="0.25">
      <c r="J589"/>
    </row>
    <row r="590" spans="10:10" x14ac:dyDescent="0.25">
      <c r="J590"/>
    </row>
    <row r="591" spans="10:10" x14ac:dyDescent="0.25">
      <c r="J591"/>
    </row>
    <row r="592" spans="10:10" x14ac:dyDescent="0.25">
      <c r="J592"/>
    </row>
    <row r="593" spans="10:10" x14ac:dyDescent="0.25">
      <c r="J593"/>
    </row>
    <row r="594" spans="10:10" x14ac:dyDescent="0.25">
      <c r="J594"/>
    </row>
    <row r="595" spans="10:10" x14ac:dyDescent="0.25">
      <c r="J595"/>
    </row>
    <row r="596" spans="10:10" x14ac:dyDescent="0.25">
      <c r="J596"/>
    </row>
    <row r="597" spans="10:10" x14ac:dyDescent="0.25">
      <c r="J597"/>
    </row>
    <row r="598" spans="10:10" x14ac:dyDescent="0.25">
      <c r="J598"/>
    </row>
    <row r="599" spans="10:10" x14ac:dyDescent="0.25">
      <c r="J599"/>
    </row>
    <row r="600" spans="10:10" x14ac:dyDescent="0.25">
      <c r="J600"/>
    </row>
    <row r="601" spans="10:10" x14ac:dyDescent="0.25">
      <c r="J601"/>
    </row>
    <row r="602" spans="10:10" x14ac:dyDescent="0.25">
      <c r="J602"/>
    </row>
    <row r="603" spans="10:10" x14ac:dyDescent="0.25">
      <c r="J603"/>
    </row>
    <row r="604" spans="10:10" x14ac:dyDescent="0.25">
      <c r="J604"/>
    </row>
    <row r="605" spans="10:10" x14ac:dyDescent="0.25">
      <c r="J605"/>
    </row>
    <row r="606" spans="10:10" x14ac:dyDescent="0.25">
      <c r="J606"/>
    </row>
    <row r="607" spans="10:10" x14ac:dyDescent="0.25">
      <c r="J607"/>
    </row>
    <row r="608" spans="10:10" x14ac:dyDescent="0.25">
      <c r="J608"/>
    </row>
    <row r="609" spans="10:10" x14ac:dyDescent="0.25">
      <c r="J609"/>
    </row>
    <row r="610" spans="10:10" x14ac:dyDescent="0.25">
      <c r="J610"/>
    </row>
    <row r="611" spans="10:10" x14ac:dyDescent="0.25">
      <c r="J611"/>
    </row>
    <row r="612" spans="10:10" x14ac:dyDescent="0.25">
      <c r="J612"/>
    </row>
    <row r="613" spans="10:10" x14ac:dyDescent="0.25">
      <c r="J613"/>
    </row>
    <row r="614" spans="10:10" x14ac:dyDescent="0.25">
      <c r="J614"/>
    </row>
    <row r="615" spans="10:10" x14ac:dyDescent="0.25">
      <c r="J615"/>
    </row>
    <row r="616" spans="10:10" x14ac:dyDescent="0.25">
      <c r="J616"/>
    </row>
    <row r="617" spans="10:10" x14ac:dyDescent="0.25">
      <c r="J617"/>
    </row>
    <row r="618" spans="10:10" x14ac:dyDescent="0.25">
      <c r="J618"/>
    </row>
    <row r="619" spans="10:10" x14ac:dyDescent="0.25">
      <c r="J619"/>
    </row>
    <row r="620" spans="10:10" x14ac:dyDescent="0.25">
      <c r="J620"/>
    </row>
    <row r="621" spans="10:10" x14ac:dyDescent="0.25">
      <c r="J621"/>
    </row>
    <row r="622" spans="10:10" x14ac:dyDescent="0.25">
      <c r="J622"/>
    </row>
    <row r="623" spans="10:10" x14ac:dyDescent="0.25">
      <c r="J623"/>
    </row>
    <row r="624" spans="10:10" x14ac:dyDescent="0.25">
      <c r="J624"/>
    </row>
    <row r="625" spans="10:10" x14ac:dyDescent="0.25">
      <c r="J625"/>
    </row>
    <row r="626" spans="10:10" x14ac:dyDescent="0.25">
      <c r="J626"/>
    </row>
    <row r="627" spans="10:10" x14ac:dyDescent="0.25">
      <c r="J627"/>
    </row>
    <row r="628" spans="10:10" x14ac:dyDescent="0.25">
      <c r="J628"/>
    </row>
    <row r="629" spans="10:10" x14ac:dyDescent="0.25">
      <c r="J629"/>
    </row>
    <row r="630" spans="10:10" x14ac:dyDescent="0.25">
      <c r="J630"/>
    </row>
    <row r="631" spans="10:10" x14ac:dyDescent="0.25">
      <c r="J631"/>
    </row>
    <row r="632" spans="10:10" x14ac:dyDescent="0.25">
      <c r="J632"/>
    </row>
    <row r="633" spans="10:10" x14ac:dyDescent="0.25">
      <c r="J633"/>
    </row>
    <row r="634" spans="10:10" x14ac:dyDescent="0.25">
      <c r="J634"/>
    </row>
    <row r="635" spans="10:10" x14ac:dyDescent="0.25">
      <c r="J635"/>
    </row>
    <row r="636" spans="10:10" x14ac:dyDescent="0.25">
      <c r="J636"/>
    </row>
    <row r="637" spans="10:10" x14ac:dyDescent="0.25">
      <c r="J637"/>
    </row>
    <row r="638" spans="10:10" x14ac:dyDescent="0.25">
      <c r="J638"/>
    </row>
    <row r="639" spans="10:10" x14ac:dyDescent="0.25">
      <c r="J639"/>
    </row>
    <row r="640" spans="10:10" x14ac:dyDescent="0.25">
      <c r="J640"/>
    </row>
    <row r="641" spans="10:10" x14ac:dyDescent="0.25">
      <c r="J641"/>
    </row>
    <row r="642" spans="10:10" x14ac:dyDescent="0.25">
      <c r="J642"/>
    </row>
    <row r="643" spans="10:10" x14ac:dyDescent="0.25">
      <c r="J643"/>
    </row>
    <row r="644" spans="10:10" x14ac:dyDescent="0.25">
      <c r="J644"/>
    </row>
    <row r="645" spans="10:10" x14ac:dyDescent="0.25">
      <c r="J645"/>
    </row>
    <row r="646" spans="10:10" x14ac:dyDescent="0.25">
      <c r="J646"/>
    </row>
    <row r="647" spans="10:10" x14ac:dyDescent="0.25">
      <c r="J647"/>
    </row>
    <row r="648" spans="10:10" x14ac:dyDescent="0.25">
      <c r="J648"/>
    </row>
    <row r="649" spans="10:10" x14ac:dyDescent="0.25">
      <c r="J649"/>
    </row>
    <row r="650" spans="10:10" x14ac:dyDescent="0.25">
      <c r="J650"/>
    </row>
    <row r="651" spans="10:10" x14ac:dyDescent="0.25">
      <c r="J651"/>
    </row>
    <row r="652" spans="10:10" x14ac:dyDescent="0.25">
      <c r="J652"/>
    </row>
    <row r="653" spans="10:10" x14ac:dyDescent="0.25">
      <c r="J653"/>
    </row>
    <row r="654" spans="10:10" x14ac:dyDescent="0.25">
      <c r="J654"/>
    </row>
    <row r="655" spans="10:10" x14ac:dyDescent="0.25">
      <c r="J655"/>
    </row>
    <row r="656" spans="10:10" x14ac:dyDescent="0.25">
      <c r="J656"/>
    </row>
    <row r="657" spans="10:10" x14ac:dyDescent="0.25">
      <c r="J657"/>
    </row>
    <row r="658" spans="10:10" x14ac:dyDescent="0.25">
      <c r="J658"/>
    </row>
    <row r="659" spans="10:10" x14ac:dyDescent="0.25">
      <c r="J659"/>
    </row>
    <row r="660" spans="10:10" x14ac:dyDescent="0.25">
      <c r="J660"/>
    </row>
    <row r="661" spans="10:10" x14ac:dyDescent="0.25">
      <c r="J661"/>
    </row>
    <row r="662" spans="10:10" x14ac:dyDescent="0.25">
      <c r="J662"/>
    </row>
    <row r="663" spans="10:10" x14ac:dyDescent="0.25">
      <c r="J663"/>
    </row>
    <row r="664" spans="10:10" x14ac:dyDescent="0.25">
      <c r="J664"/>
    </row>
    <row r="665" spans="10:10" x14ac:dyDescent="0.25">
      <c r="J665"/>
    </row>
    <row r="666" spans="10:10" x14ac:dyDescent="0.25">
      <c r="J666"/>
    </row>
    <row r="667" spans="10:10" x14ac:dyDescent="0.25">
      <c r="J667"/>
    </row>
    <row r="668" spans="10:10" x14ac:dyDescent="0.25">
      <c r="J668"/>
    </row>
    <row r="669" spans="10:10" x14ac:dyDescent="0.25">
      <c r="J669"/>
    </row>
    <row r="670" spans="10:10" x14ac:dyDescent="0.25">
      <c r="J670"/>
    </row>
    <row r="671" spans="10:10" x14ac:dyDescent="0.25">
      <c r="J671"/>
    </row>
    <row r="672" spans="10:10" x14ac:dyDescent="0.25">
      <c r="J672"/>
    </row>
    <row r="673" spans="10:10" x14ac:dyDescent="0.25">
      <c r="J673"/>
    </row>
    <row r="674" spans="10:10" x14ac:dyDescent="0.25">
      <c r="J674"/>
    </row>
    <row r="675" spans="10:10" x14ac:dyDescent="0.25">
      <c r="J675"/>
    </row>
    <row r="676" spans="10:10" x14ac:dyDescent="0.25">
      <c r="J676"/>
    </row>
    <row r="677" spans="10:10" x14ac:dyDescent="0.25">
      <c r="J677"/>
    </row>
    <row r="678" spans="10:10" x14ac:dyDescent="0.25">
      <c r="J678"/>
    </row>
    <row r="679" spans="10:10" x14ac:dyDescent="0.25">
      <c r="J679"/>
    </row>
    <row r="680" spans="10:10" x14ac:dyDescent="0.25">
      <c r="J680"/>
    </row>
    <row r="681" spans="10:10" x14ac:dyDescent="0.25">
      <c r="J681"/>
    </row>
    <row r="682" spans="10:10" x14ac:dyDescent="0.25">
      <c r="J682"/>
    </row>
    <row r="683" spans="10:10" x14ac:dyDescent="0.25">
      <c r="J683"/>
    </row>
    <row r="684" spans="10:10" x14ac:dyDescent="0.25">
      <c r="J684"/>
    </row>
    <row r="685" spans="10:10" x14ac:dyDescent="0.25">
      <c r="J685"/>
    </row>
    <row r="686" spans="10:10" x14ac:dyDescent="0.25">
      <c r="J686"/>
    </row>
    <row r="687" spans="10:10" x14ac:dyDescent="0.25">
      <c r="J687"/>
    </row>
    <row r="688" spans="10:10" x14ac:dyDescent="0.25">
      <c r="J688"/>
    </row>
    <row r="689" spans="10:10" x14ac:dyDescent="0.25">
      <c r="J689"/>
    </row>
    <row r="690" spans="10:10" x14ac:dyDescent="0.25">
      <c r="J690"/>
    </row>
    <row r="691" spans="10:10" x14ac:dyDescent="0.25">
      <c r="J691"/>
    </row>
    <row r="692" spans="10:10" x14ac:dyDescent="0.25">
      <c r="J692"/>
    </row>
    <row r="693" spans="10:10" x14ac:dyDescent="0.25">
      <c r="J693"/>
    </row>
    <row r="694" spans="10:10" x14ac:dyDescent="0.25">
      <c r="J694"/>
    </row>
    <row r="695" spans="10:10" x14ac:dyDescent="0.25">
      <c r="J695"/>
    </row>
    <row r="696" spans="10:10" x14ac:dyDescent="0.25">
      <c r="J696"/>
    </row>
    <row r="697" spans="10:10" x14ac:dyDescent="0.25">
      <c r="J697"/>
    </row>
    <row r="698" spans="10:10" x14ac:dyDescent="0.25">
      <c r="J698"/>
    </row>
    <row r="699" spans="10:10" x14ac:dyDescent="0.25">
      <c r="J699"/>
    </row>
    <row r="700" spans="10:10" x14ac:dyDescent="0.25">
      <c r="J700"/>
    </row>
    <row r="701" spans="10:10" x14ac:dyDescent="0.25">
      <c r="J701"/>
    </row>
    <row r="702" spans="10:10" x14ac:dyDescent="0.25">
      <c r="J702"/>
    </row>
    <row r="703" spans="10:10" x14ac:dyDescent="0.25">
      <c r="J703"/>
    </row>
    <row r="704" spans="10:10" x14ac:dyDescent="0.25">
      <c r="J704"/>
    </row>
    <row r="705" spans="10:10" x14ac:dyDescent="0.25">
      <c r="J705"/>
    </row>
    <row r="706" spans="10:10" x14ac:dyDescent="0.25">
      <c r="J706"/>
    </row>
    <row r="707" spans="10:10" x14ac:dyDescent="0.25">
      <c r="J707"/>
    </row>
    <row r="708" spans="10:10" x14ac:dyDescent="0.25">
      <c r="J708"/>
    </row>
    <row r="709" spans="10:10" x14ac:dyDescent="0.25">
      <c r="J709"/>
    </row>
    <row r="710" spans="10:10" x14ac:dyDescent="0.25">
      <c r="J710"/>
    </row>
    <row r="711" spans="10:10" x14ac:dyDescent="0.25">
      <c r="J711"/>
    </row>
    <row r="712" spans="10:10" x14ac:dyDescent="0.25">
      <c r="J712"/>
    </row>
    <row r="713" spans="10:10" x14ac:dyDescent="0.25">
      <c r="J713"/>
    </row>
    <row r="714" spans="10:10" x14ac:dyDescent="0.25">
      <c r="J714"/>
    </row>
    <row r="715" spans="10:10" x14ac:dyDescent="0.25">
      <c r="J715"/>
    </row>
    <row r="716" spans="10:10" x14ac:dyDescent="0.25">
      <c r="J716"/>
    </row>
    <row r="717" spans="10:10" x14ac:dyDescent="0.25">
      <c r="J717"/>
    </row>
    <row r="718" spans="10:10" x14ac:dyDescent="0.25">
      <c r="J718"/>
    </row>
    <row r="719" spans="10:10" x14ac:dyDescent="0.25">
      <c r="J719"/>
    </row>
    <row r="720" spans="10:10" x14ac:dyDescent="0.25">
      <c r="J720"/>
    </row>
    <row r="721" spans="10:10" x14ac:dyDescent="0.25">
      <c r="J721"/>
    </row>
    <row r="722" spans="10:10" x14ac:dyDescent="0.25">
      <c r="J722"/>
    </row>
    <row r="723" spans="10:10" x14ac:dyDescent="0.25">
      <c r="J723"/>
    </row>
    <row r="724" spans="10:10" x14ac:dyDescent="0.25">
      <c r="J724"/>
    </row>
    <row r="725" spans="10:10" x14ac:dyDescent="0.25">
      <c r="J725"/>
    </row>
    <row r="726" spans="10:10" x14ac:dyDescent="0.25">
      <c r="J726"/>
    </row>
    <row r="727" spans="10:10" x14ac:dyDescent="0.25">
      <c r="J727"/>
    </row>
    <row r="728" spans="10:10" x14ac:dyDescent="0.25">
      <c r="J728"/>
    </row>
    <row r="729" spans="10:10" x14ac:dyDescent="0.25">
      <c r="J729"/>
    </row>
    <row r="730" spans="10:10" x14ac:dyDescent="0.25">
      <c r="J730"/>
    </row>
    <row r="731" spans="10:10" x14ac:dyDescent="0.25">
      <c r="J731"/>
    </row>
    <row r="732" spans="10:10" x14ac:dyDescent="0.25">
      <c r="J732"/>
    </row>
    <row r="733" spans="10:10" x14ac:dyDescent="0.25">
      <c r="J733"/>
    </row>
    <row r="734" spans="10:10" x14ac:dyDescent="0.25">
      <c r="J734"/>
    </row>
    <row r="735" spans="10:10" x14ac:dyDescent="0.25">
      <c r="J735"/>
    </row>
    <row r="736" spans="10:10" x14ac:dyDescent="0.25">
      <c r="J736"/>
    </row>
    <row r="737" spans="10:10" x14ac:dyDescent="0.25">
      <c r="J737"/>
    </row>
    <row r="738" spans="10:10" x14ac:dyDescent="0.25">
      <c r="J738"/>
    </row>
    <row r="739" spans="10:10" x14ac:dyDescent="0.25">
      <c r="J739"/>
    </row>
    <row r="740" spans="10:10" x14ac:dyDescent="0.25">
      <c r="J740"/>
    </row>
    <row r="741" spans="10:10" x14ac:dyDescent="0.25">
      <c r="J741"/>
    </row>
    <row r="742" spans="10:10" x14ac:dyDescent="0.25">
      <c r="J742"/>
    </row>
    <row r="743" spans="10:10" x14ac:dyDescent="0.25">
      <c r="J743"/>
    </row>
    <row r="744" spans="10:10" x14ac:dyDescent="0.25">
      <c r="J744"/>
    </row>
    <row r="745" spans="10:10" x14ac:dyDescent="0.25">
      <c r="J745"/>
    </row>
    <row r="746" spans="10:10" x14ac:dyDescent="0.25">
      <c r="J746"/>
    </row>
    <row r="747" spans="10:10" x14ac:dyDescent="0.25">
      <c r="J747"/>
    </row>
    <row r="748" spans="10:10" x14ac:dyDescent="0.25">
      <c r="J748"/>
    </row>
    <row r="749" spans="10:10" x14ac:dyDescent="0.25">
      <c r="J749"/>
    </row>
    <row r="750" spans="10:10" x14ac:dyDescent="0.25">
      <c r="J750"/>
    </row>
    <row r="751" spans="10:10" x14ac:dyDescent="0.25">
      <c r="J751"/>
    </row>
    <row r="752" spans="10:10" x14ac:dyDescent="0.25">
      <c r="J752"/>
    </row>
    <row r="753" spans="10:10" x14ac:dyDescent="0.25">
      <c r="J753"/>
    </row>
    <row r="754" spans="10:10" x14ac:dyDescent="0.25">
      <c r="J754"/>
    </row>
    <row r="755" spans="10:10" x14ac:dyDescent="0.25">
      <c r="J755"/>
    </row>
    <row r="756" spans="10:10" x14ac:dyDescent="0.25">
      <c r="J756"/>
    </row>
    <row r="757" spans="10:10" x14ac:dyDescent="0.25">
      <c r="J757"/>
    </row>
    <row r="758" spans="10:10" x14ac:dyDescent="0.25">
      <c r="J758"/>
    </row>
    <row r="759" spans="10:10" x14ac:dyDescent="0.25">
      <c r="J759"/>
    </row>
    <row r="760" spans="10:10" x14ac:dyDescent="0.25">
      <c r="J760"/>
    </row>
    <row r="761" spans="10:10" x14ac:dyDescent="0.25">
      <c r="J761"/>
    </row>
    <row r="762" spans="10:10" x14ac:dyDescent="0.25">
      <c r="J762"/>
    </row>
    <row r="763" spans="10:10" x14ac:dyDescent="0.25">
      <c r="J763"/>
    </row>
    <row r="764" spans="10:10" x14ac:dyDescent="0.25">
      <c r="J764"/>
    </row>
    <row r="765" spans="10:10" x14ac:dyDescent="0.25">
      <c r="J765"/>
    </row>
    <row r="766" spans="10:10" x14ac:dyDescent="0.25">
      <c r="J766"/>
    </row>
    <row r="767" spans="10:10" x14ac:dyDescent="0.25">
      <c r="J767"/>
    </row>
    <row r="768" spans="10:10" x14ac:dyDescent="0.25">
      <c r="J768"/>
    </row>
    <row r="769" spans="10:10" x14ac:dyDescent="0.25">
      <c r="J769"/>
    </row>
    <row r="770" spans="10:10" x14ac:dyDescent="0.25">
      <c r="J770"/>
    </row>
    <row r="771" spans="10:10" x14ac:dyDescent="0.25">
      <c r="J771"/>
    </row>
    <row r="772" spans="10:10" x14ac:dyDescent="0.25">
      <c r="J772"/>
    </row>
    <row r="773" spans="10:10" x14ac:dyDescent="0.25">
      <c r="J773"/>
    </row>
    <row r="774" spans="10:10" x14ac:dyDescent="0.25">
      <c r="J774"/>
    </row>
    <row r="775" spans="10:10" x14ac:dyDescent="0.25">
      <c r="J775"/>
    </row>
    <row r="776" spans="10:10" x14ac:dyDescent="0.25">
      <c r="J776"/>
    </row>
    <row r="777" spans="10:10" x14ac:dyDescent="0.25">
      <c r="J777"/>
    </row>
    <row r="778" spans="10:10" x14ac:dyDescent="0.25">
      <c r="J778"/>
    </row>
    <row r="779" spans="10:10" x14ac:dyDescent="0.25">
      <c r="J779"/>
    </row>
    <row r="780" spans="10:10" x14ac:dyDescent="0.25">
      <c r="J780"/>
    </row>
    <row r="781" spans="10:10" x14ac:dyDescent="0.25">
      <c r="J781"/>
    </row>
    <row r="782" spans="10:10" x14ac:dyDescent="0.25">
      <c r="J782"/>
    </row>
    <row r="783" spans="10:10" x14ac:dyDescent="0.25">
      <c r="J783"/>
    </row>
    <row r="784" spans="10:10" x14ac:dyDescent="0.25">
      <c r="J784"/>
    </row>
    <row r="785" spans="10:10" x14ac:dyDescent="0.25">
      <c r="J785"/>
    </row>
    <row r="786" spans="10:10" x14ac:dyDescent="0.25">
      <c r="J786"/>
    </row>
    <row r="787" spans="10:10" x14ac:dyDescent="0.25">
      <c r="J787"/>
    </row>
    <row r="788" spans="10:10" x14ac:dyDescent="0.25">
      <c r="J788"/>
    </row>
    <row r="789" spans="10:10" x14ac:dyDescent="0.25">
      <c r="J789"/>
    </row>
    <row r="790" spans="10:10" x14ac:dyDescent="0.25">
      <c r="J790"/>
    </row>
    <row r="791" spans="10:10" x14ac:dyDescent="0.25">
      <c r="J791"/>
    </row>
    <row r="792" spans="10:10" x14ac:dyDescent="0.25">
      <c r="J792"/>
    </row>
    <row r="793" spans="10:10" x14ac:dyDescent="0.25">
      <c r="J793"/>
    </row>
    <row r="794" spans="10:10" x14ac:dyDescent="0.25">
      <c r="J794"/>
    </row>
    <row r="795" spans="10:10" x14ac:dyDescent="0.25">
      <c r="J795"/>
    </row>
    <row r="796" spans="10:10" x14ac:dyDescent="0.25">
      <c r="J796"/>
    </row>
    <row r="797" spans="10:10" x14ac:dyDescent="0.25">
      <c r="J797"/>
    </row>
    <row r="798" spans="10:10" x14ac:dyDescent="0.25">
      <c r="J798"/>
    </row>
    <row r="799" spans="10:10" x14ac:dyDescent="0.25">
      <c r="J799"/>
    </row>
    <row r="800" spans="10:10" x14ac:dyDescent="0.25">
      <c r="J800"/>
    </row>
    <row r="801" spans="10:10" x14ac:dyDescent="0.25">
      <c r="J801"/>
    </row>
    <row r="802" spans="10:10" x14ac:dyDescent="0.25">
      <c r="J802"/>
    </row>
    <row r="803" spans="10:10" x14ac:dyDescent="0.25">
      <c r="J803"/>
    </row>
    <row r="804" spans="10:10" x14ac:dyDescent="0.25">
      <c r="J804"/>
    </row>
    <row r="805" spans="10:10" x14ac:dyDescent="0.25">
      <c r="J805"/>
    </row>
    <row r="806" spans="10:10" x14ac:dyDescent="0.25">
      <c r="J806"/>
    </row>
    <row r="807" spans="10:10" x14ac:dyDescent="0.25">
      <c r="J807"/>
    </row>
    <row r="808" spans="10:10" x14ac:dyDescent="0.25">
      <c r="J808"/>
    </row>
    <row r="809" spans="10:10" x14ac:dyDescent="0.25">
      <c r="J809"/>
    </row>
    <row r="810" spans="10:10" x14ac:dyDescent="0.25">
      <c r="J810"/>
    </row>
    <row r="811" spans="10:10" x14ac:dyDescent="0.25">
      <c r="J811"/>
    </row>
    <row r="812" spans="10:10" x14ac:dyDescent="0.25">
      <c r="J812"/>
    </row>
    <row r="813" spans="10:10" x14ac:dyDescent="0.25">
      <c r="J813"/>
    </row>
    <row r="814" spans="10:10" x14ac:dyDescent="0.25">
      <c r="J814"/>
    </row>
    <row r="815" spans="10:10" x14ac:dyDescent="0.25">
      <c r="J815"/>
    </row>
    <row r="816" spans="10:10" x14ac:dyDescent="0.25">
      <c r="J816"/>
    </row>
    <row r="817" spans="10:10" x14ac:dyDescent="0.25">
      <c r="J817"/>
    </row>
    <row r="818" spans="10:10" x14ac:dyDescent="0.25">
      <c r="J818"/>
    </row>
    <row r="819" spans="10:10" x14ac:dyDescent="0.25">
      <c r="J819"/>
    </row>
    <row r="820" spans="10:10" x14ac:dyDescent="0.25">
      <c r="J820"/>
    </row>
    <row r="821" spans="10:10" x14ac:dyDescent="0.25">
      <c r="J821"/>
    </row>
    <row r="822" spans="10:10" x14ac:dyDescent="0.25">
      <c r="J822"/>
    </row>
    <row r="823" spans="10:10" x14ac:dyDescent="0.25">
      <c r="J823"/>
    </row>
    <row r="824" spans="10:10" x14ac:dyDescent="0.25">
      <c r="J824"/>
    </row>
    <row r="825" spans="10:10" x14ac:dyDescent="0.25">
      <c r="J825"/>
    </row>
    <row r="826" spans="10:10" x14ac:dyDescent="0.25">
      <c r="J826"/>
    </row>
    <row r="827" spans="10:10" x14ac:dyDescent="0.25">
      <c r="J827"/>
    </row>
    <row r="828" spans="10:10" x14ac:dyDescent="0.25">
      <c r="J828"/>
    </row>
    <row r="829" spans="10:10" x14ac:dyDescent="0.25">
      <c r="J829"/>
    </row>
    <row r="830" spans="10:10" x14ac:dyDescent="0.25">
      <c r="J830"/>
    </row>
    <row r="831" spans="10:10" x14ac:dyDescent="0.25">
      <c r="J831"/>
    </row>
    <row r="832" spans="10:10" x14ac:dyDescent="0.25">
      <c r="J832"/>
    </row>
    <row r="833" spans="10:10" x14ac:dyDescent="0.25">
      <c r="J833"/>
    </row>
    <row r="834" spans="10:10" x14ac:dyDescent="0.25">
      <c r="J834"/>
    </row>
    <row r="835" spans="10:10" x14ac:dyDescent="0.25">
      <c r="J835"/>
    </row>
    <row r="836" spans="10:10" x14ac:dyDescent="0.25">
      <c r="J836"/>
    </row>
    <row r="837" spans="10:10" x14ac:dyDescent="0.25">
      <c r="J837"/>
    </row>
    <row r="838" spans="10:10" x14ac:dyDescent="0.25">
      <c r="J838"/>
    </row>
    <row r="839" spans="10:10" x14ac:dyDescent="0.25">
      <c r="J839"/>
    </row>
    <row r="840" spans="10:10" x14ac:dyDescent="0.25">
      <c r="J840"/>
    </row>
    <row r="841" spans="10:10" x14ac:dyDescent="0.25">
      <c r="J841"/>
    </row>
    <row r="842" spans="10:10" x14ac:dyDescent="0.25">
      <c r="J842"/>
    </row>
    <row r="843" spans="10:10" x14ac:dyDescent="0.25">
      <c r="J843"/>
    </row>
    <row r="844" spans="10:10" x14ac:dyDescent="0.25">
      <c r="J844"/>
    </row>
    <row r="845" spans="10:10" x14ac:dyDescent="0.25">
      <c r="J845"/>
    </row>
    <row r="846" spans="10:10" x14ac:dyDescent="0.25">
      <c r="J846"/>
    </row>
    <row r="847" spans="10:10" x14ac:dyDescent="0.25">
      <c r="J847"/>
    </row>
    <row r="848" spans="10:10" x14ac:dyDescent="0.25">
      <c r="J848"/>
    </row>
    <row r="849" spans="10:10" x14ac:dyDescent="0.25">
      <c r="J849"/>
    </row>
    <row r="850" spans="10:10" x14ac:dyDescent="0.25">
      <c r="J850"/>
    </row>
    <row r="851" spans="10:10" x14ac:dyDescent="0.25">
      <c r="J851"/>
    </row>
    <row r="852" spans="10:10" x14ac:dyDescent="0.25">
      <c r="J852"/>
    </row>
    <row r="853" spans="10:10" x14ac:dyDescent="0.25">
      <c r="J853"/>
    </row>
    <row r="854" spans="10:10" x14ac:dyDescent="0.25">
      <c r="J854"/>
    </row>
    <row r="855" spans="10:10" x14ac:dyDescent="0.25">
      <c r="J855"/>
    </row>
    <row r="856" spans="10:10" x14ac:dyDescent="0.25">
      <c r="J856"/>
    </row>
    <row r="857" spans="10:10" x14ac:dyDescent="0.25">
      <c r="J857"/>
    </row>
    <row r="858" spans="10:10" x14ac:dyDescent="0.25">
      <c r="J858"/>
    </row>
    <row r="859" spans="10:10" x14ac:dyDescent="0.25">
      <c r="J859"/>
    </row>
    <row r="860" spans="10:10" x14ac:dyDescent="0.25">
      <c r="J860"/>
    </row>
    <row r="861" spans="10:10" x14ac:dyDescent="0.25">
      <c r="J861"/>
    </row>
    <row r="862" spans="10:10" x14ac:dyDescent="0.25">
      <c r="J862"/>
    </row>
    <row r="863" spans="10:10" x14ac:dyDescent="0.25">
      <c r="J863"/>
    </row>
    <row r="864" spans="10:10" x14ac:dyDescent="0.25">
      <c r="J864"/>
    </row>
    <row r="865" spans="10:10" x14ac:dyDescent="0.25">
      <c r="J865"/>
    </row>
    <row r="866" spans="10:10" x14ac:dyDescent="0.25">
      <c r="J866"/>
    </row>
    <row r="867" spans="10:10" x14ac:dyDescent="0.25">
      <c r="J867"/>
    </row>
    <row r="868" spans="10:10" x14ac:dyDescent="0.25">
      <c r="J868"/>
    </row>
    <row r="869" spans="10:10" x14ac:dyDescent="0.25">
      <c r="J869"/>
    </row>
    <row r="870" spans="10:10" x14ac:dyDescent="0.25">
      <c r="J870"/>
    </row>
    <row r="871" spans="10:10" x14ac:dyDescent="0.25">
      <c r="J871"/>
    </row>
    <row r="872" spans="10:10" x14ac:dyDescent="0.25">
      <c r="J872"/>
    </row>
    <row r="873" spans="10:10" x14ac:dyDescent="0.25">
      <c r="J873"/>
    </row>
    <row r="874" spans="10:10" x14ac:dyDescent="0.25">
      <c r="J874"/>
    </row>
    <row r="875" spans="10:10" x14ac:dyDescent="0.25">
      <c r="J875"/>
    </row>
    <row r="876" spans="10:10" x14ac:dyDescent="0.25">
      <c r="J876"/>
    </row>
    <row r="877" spans="10:10" x14ac:dyDescent="0.25">
      <c r="J877"/>
    </row>
    <row r="878" spans="10:10" x14ac:dyDescent="0.25">
      <c r="J878"/>
    </row>
    <row r="879" spans="10:10" x14ac:dyDescent="0.25">
      <c r="J879"/>
    </row>
    <row r="880" spans="10:10" x14ac:dyDescent="0.25">
      <c r="J880"/>
    </row>
    <row r="881" spans="10:10" x14ac:dyDescent="0.25">
      <c r="J881"/>
    </row>
    <row r="882" spans="10:10" x14ac:dyDescent="0.25">
      <c r="J882"/>
    </row>
    <row r="883" spans="10:10" x14ac:dyDescent="0.25">
      <c r="J883"/>
    </row>
    <row r="884" spans="10:10" x14ac:dyDescent="0.25">
      <c r="J884"/>
    </row>
    <row r="885" spans="10:10" x14ac:dyDescent="0.25">
      <c r="J885"/>
    </row>
    <row r="886" spans="10:10" x14ac:dyDescent="0.25">
      <c r="J886"/>
    </row>
    <row r="887" spans="10:10" x14ac:dyDescent="0.25">
      <c r="J887"/>
    </row>
    <row r="888" spans="10:10" x14ac:dyDescent="0.25">
      <c r="J888"/>
    </row>
    <row r="889" spans="10:10" x14ac:dyDescent="0.25">
      <c r="J889"/>
    </row>
    <row r="890" spans="10:10" x14ac:dyDescent="0.25">
      <c r="J890"/>
    </row>
    <row r="891" spans="10:10" x14ac:dyDescent="0.25">
      <c r="J891"/>
    </row>
    <row r="892" spans="10:10" x14ac:dyDescent="0.25">
      <c r="J892"/>
    </row>
    <row r="893" spans="10:10" x14ac:dyDescent="0.25">
      <c r="J893"/>
    </row>
    <row r="894" spans="10:10" x14ac:dyDescent="0.25">
      <c r="J894"/>
    </row>
    <row r="895" spans="10:10" x14ac:dyDescent="0.25">
      <c r="J895"/>
    </row>
    <row r="896" spans="10:10" x14ac:dyDescent="0.25">
      <c r="J896"/>
    </row>
    <row r="897" spans="10:10" x14ac:dyDescent="0.25">
      <c r="J897"/>
    </row>
    <row r="898" spans="10:10" x14ac:dyDescent="0.25">
      <c r="J898"/>
    </row>
    <row r="899" spans="10:10" x14ac:dyDescent="0.25">
      <c r="J899"/>
    </row>
    <row r="900" spans="10:10" x14ac:dyDescent="0.25">
      <c r="J900"/>
    </row>
    <row r="901" spans="10:10" x14ac:dyDescent="0.25">
      <c r="J901"/>
    </row>
    <row r="902" spans="10:10" x14ac:dyDescent="0.25">
      <c r="J902"/>
    </row>
    <row r="903" spans="10:10" x14ac:dyDescent="0.25">
      <c r="J903"/>
    </row>
    <row r="904" spans="10:10" x14ac:dyDescent="0.25">
      <c r="J904"/>
    </row>
    <row r="905" spans="10:10" x14ac:dyDescent="0.25">
      <c r="J905"/>
    </row>
    <row r="906" spans="10:10" x14ac:dyDescent="0.25">
      <c r="J906"/>
    </row>
    <row r="907" spans="10:10" x14ac:dyDescent="0.25">
      <c r="J907"/>
    </row>
    <row r="908" spans="10:10" x14ac:dyDescent="0.25">
      <c r="J908"/>
    </row>
    <row r="909" spans="10:10" x14ac:dyDescent="0.25">
      <c r="J909"/>
    </row>
    <row r="910" spans="10:10" x14ac:dyDescent="0.25">
      <c r="J910"/>
    </row>
    <row r="911" spans="10:10" x14ac:dyDescent="0.25">
      <c r="J911"/>
    </row>
    <row r="912" spans="10:10" x14ac:dyDescent="0.25">
      <c r="J912"/>
    </row>
    <row r="913" spans="10:10" x14ac:dyDescent="0.25">
      <c r="J913"/>
    </row>
    <row r="914" spans="10:10" x14ac:dyDescent="0.25">
      <c r="J914"/>
    </row>
    <row r="915" spans="10:10" x14ac:dyDescent="0.25">
      <c r="J915"/>
    </row>
    <row r="916" spans="10:10" x14ac:dyDescent="0.25">
      <c r="J916"/>
    </row>
    <row r="917" spans="10:10" x14ac:dyDescent="0.25">
      <c r="J917"/>
    </row>
    <row r="918" spans="10:10" x14ac:dyDescent="0.25">
      <c r="J918"/>
    </row>
    <row r="919" spans="10:10" x14ac:dyDescent="0.25">
      <c r="J919"/>
    </row>
    <row r="920" spans="10:10" x14ac:dyDescent="0.25">
      <c r="J920"/>
    </row>
    <row r="921" spans="10:10" x14ac:dyDescent="0.25">
      <c r="J921"/>
    </row>
    <row r="922" spans="10:10" x14ac:dyDescent="0.25">
      <c r="J922"/>
    </row>
    <row r="923" spans="10:10" x14ac:dyDescent="0.25">
      <c r="J923"/>
    </row>
    <row r="924" spans="10:10" x14ac:dyDescent="0.25">
      <c r="J924"/>
    </row>
    <row r="925" spans="10:10" x14ac:dyDescent="0.25">
      <c r="J925"/>
    </row>
    <row r="926" spans="10:10" x14ac:dyDescent="0.25">
      <c r="J926"/>
    </row>
    <row r="927" spans="10:10" x14ac:dyDescent="0.25">
      <c r="J927"/>
    </row>
    <row r="928" spans="10:10" x14ac:dyDescent="0.25">
      <c r="J928"/>
    </row>
    <row r="929" spans="10:10" x14ac:dyDescent="0.25">
      <c r="J929"/>
    </row>
    <row r="930" spans="10:10" x14ac:dyDescent="0.25">
      <c r="J930"/>
    </row>
    <row r="931" spans="10:10" x14ac:dyDescent="0.25">
      <c r="J931"/>
    </row>
    <row r="932" spans="10:10" x14ac:dyDescent="0.25">
      <c r="J932"/>
    </row>
    <row r="933" spans="10:10" x14ac:dyDescent="0.25">
      <c r="J933"/>
    </row>
    <row r="934" spans="10:10" x14ac:dyDescent="0.25">
      <c r="J934"/>
    </row>
    <row r="935" spans="10:10" x14ac:dyDescent="0.25">
      <c r="J935"/>
    </row>
    <row r="936" spans="10:10" x14ac:dyDescent="0.25">
      <c r="J936"/>
    </row>
    <row r="937" spans="10:10" x14ac:dyDescent="0.25">
      <c r="J937"/>
    </row>
    <row r="938" spans="10:10" x14ac:dyDescent="0.25">
      <c r="J938"/>
    </row>
    <row r="939" spans="10:10" x14ac:dyDescent="0.25">
      <c r="J939"/>
    </row>
    <row r="940" spans="10:10" x14ac:dyDescent="0.25">
      <c r="J940"/>
    </row>
    <row r="941" spans="10:10" x14ac:dyDescent="0.25">
      <c r="J941"/>
    </row>
    <row r="942" spans="10:10" x14ac:dyDescent="0.25">
      <c r="J942"/>
    </row>
    <row r="943" spans="10:10" x14ac:dyDescent="0.25">
      <c r="J943"/>
    </row>
    <row r="944" spans="10:10" x14ac:dyDescent="0.25">
      <c r="J944"/>
    </row>
    <row r="945" spans="10:10" x14ac:dyDescent="0.25">
      <c r="J945"/>
    </row>
    <row r="946" spans="10:10" x14ac:dyDescent="0.25">
      <c r="J946"/>
    </row>
    <row r="947" spans="10:10" x14ac:dyDescent="0.25">
      <c r="J947"/>
    </row>
    <row r="948" spans="10:10" x14ac:dyDescent="0.25">
      <c r="J948"/>
    </row>
    <row r="949" spans="10:10" x14ac:dyDescent="0.25">
      <c r="J949"/>
    </row>
    <row r="950" spans="10:10" x14ac:dyDescent="0.25">
      <c r="J950"/>
    </row>
    <row r="951" spans="10:10" x14ac:dyDescent="0.25">
      <c r="J951"/>
    </row>
    <row r="952" spans="10:10" x14ac:dyDescent="0.25">
      <c r="J952"/>
    </row>
    <row r="953" spans="10:10" x14ac:dyDescent="0.25">
      <c r="J953"/>
    </row>
    <row r="954" spans="10:10" x14ac:dyDescent="0.25">
      <c r="J954"/>
    </row>
    <row r="955" spans="10:10" x14ac:dyDescent="0.25">
      <c r="J955"/>
    </row>
    <row r="956" spans="10:10" x14ac:dyDescent="0.25">
      <c r="J956"/>
    </row>
    <row r="957" spans="10:10" x14ac:dyDescent="0.25">
      <c r="J957"/>
    </row>
    <row r="958" spans="10:10" x14ac:dyDescent="0.25">
      <c r="J958"/>
    </row>
    <row r="959" spans="10:10" x14ac:dyDescent="0.25">
      <c r="J959"/>
    </row>
    <row r="960" spans="10:10" x14ac:dyDescent="0.25">
      <c r="J960"/>
    </row>
    <row r="961" spans="10:10" x14ac:dyDescent="0.25">
      <c r="J961"/>
    </row>
    <row r="962" spans="10:10" x14ac:dyDescent="0.25">
      <c r="J962"/>
    </row>
    <row r="963" spans="10:10" x14ac:dyDescent="0.25">
      <c r="J963"/>
    </row>
    <row r="964" spans="10:10" x14ac:dyDescent="0.25">
      <c r="J964"/>
    </row>
    <row r="965" spans="10:10" x14ac:dyDescent="0.25">
      <c r="J965"/>
    </row>
    <row r="966" spans="10:10" x14ac:dyDescent="0.25">
      <c r="J966"/>
    </row>
    <row r="967" spans="10:10" x14ac:dyDescent="0.25">
      <c r="J967"/>
    </row>
    <row r="968" spans="10:10" x14ac:dyDescent="0.25">
      <c r="J968"/>
    </row>
    <row r="969" spans="10:10" x14ac:dyDescent="0.25">
      <c r="J969"/>
    </row>
    <row r="970" spans="10:10" x14ac:dyDescent="0.25">
      <c r="J970"/>
    </row>
    <row r="971" spans="10:10" x14ac:dyDescent="0.25">
      <c r="J971"/>
    </row>
    <row r="972" spans="10:10" x14ac:dyDescent="0.25">
      <c r="J972"/>
    </row>
    <row r="973" spans="10:10" x14ac:dyDescent="0.25">
      <c r="J973"/>
    </row>
    <row r="974" spans="10:10" x14ac:dyDescent="0.25">
      <c r="J974"/>
    </row>
    <row r="975" spans="10:10" x14ac:dyDescent="0.25">
      <c r="J975"/>
    </row>
    <row r="976" spans="10:10" x14ac:dyDescent="0.25">
      <c r="J976"/>
    </row>
    <row r="977" spans="10:10" x14ac:dyDescent="0.25">
      <c r="J977"/>
    </row>
    <row r="978" spans="10:10" x14ac:dyDescent="0.25">
      <c r="J978"/>
    </row>
    <row r="979" spans="10:10" x14ac:dyDescent="0.25">
      <c r="J979"/>
    </row>
    <row r="980" spans="10:10" x14ac:dyDescent="0.25">
      <c r="J980"/>
    </row>
    <row r="981" spans="10:10" x14ac:dyDescent="0.25">
      <c r="J981"/>
    </row>
    <row r="982" spans="10:10" x14ac:dyDescent="0.25">
      <c r="J982"/>
    </row>
    <row r="983" spans="10:10" x14ac:dyDescent="0.25">
      <c r="J983"/>
    </row>
    <row r="984" spans="10:10" x14ac:dyDescent="0.25">
      <c r="J984"/>
    </row>
    <row r="985" spans="10:10" x14ac:dyDescent="0.25">
      <c r="J985"/>
    </row>
    <row r="986" spans="10:10" x14ac:dyDescent="0.25">
      <c r="J986"/>
    </row>
    <row r="987" spans="10:10" x14ac:dyDescent="0.25">
      <c r="J987"/>
    </row>
    <row r="988" spans="10:10" x14ac:dyDescent="0.25">
      <c r="J988"/>
    </row>
    <row r="989" spans="10:10" x14ac:dyDescent="0.25">
      <c r="J989"/>
    </row>
    <row r="990" spans="10:10" x14ac:dyDescent="0.25">
      <c r="J990"/>
    </row>
    <row r="991" spans="10:10" x14ac:dyDescent="0.25">
      <c r="J991"/>
    </row>
    <row r="992" spans="10:10" x14ac:dyDescent="0.25">
      <c r="J992"/>
    </row>
    <row r="993" spans="10:10" x14ac:dyDescent="0.25">
      <c r="J993"/>
    </row>
    <row r="994" spans="10:10" x14ac:dyDescent="0.25">
      <c r="J994"/>
    </row>
    <row r="995" spans="10:10" x14ac:dyDescent="0.25">
      <c r="J995"/>
    </row>
    <row r="996" spans="10:10" x14ac:dyDescent="0.25">
      <c r="J996"/>
    </row>
    <row r="997" spans="10:10" x14ac:dyDescent="0.25">
      <c r="J997"/>
    </row>
    <row r="998" spans="10:10" x14ac:dyDescent="0.25">
      <c r="J998"/>
    </row>
    <row r="999" spans="10:10" x14ac:dyDescent="0.25">
      <c r="J999"/>
    </row>
    <row r="1000" spans="10:10" x14ac:dyDescent="0.25">
      <c r="J1000"/>
    </row>
    <row r="1001" spans="10:10" x14ac:dyDescent="0.25">
      <c r="J1001"/>
    </row>
    <row r="1002" spans="10:10" x14ac:dyDescent="0.25">
      <c r="J1002"/>
    </row>
    <row r="1003" spans="10:10" x14ac:dyDescent="0.25">
      <c r="J1003"/>
    </row>
    <row r="1004" spans="10:10" x14ac:dyDescent="0.25">
      <c r="J1004"/>
    </row>
    <row r="1005" spans="10:10" x14ac:dyDescent="0.25">
      <c r="J1005"/>
    </row>
    <row r="1006" spans="10:10" x14ac:dyDescent="0.25">
      <c r="J1006"/>
    </row>
    <row r="1007" spans="10:10" x14ac:dyDescent="0.25">
      <c r="J1007"/>
    </row>
    <row r="1008" spans="10:10" x14ac:dyDescent="0.25">
      <c r="J1008"/>
    </row>
    <row r="1009" spans="10:10" x14ac:dyDescent="0.25">
      <c r="J1009"/>
    </row>
    <row r="1010" spans="10:10" x14ac:dyDescent="0.25">
      <c r="J1010"/>
    </row>
    <row r="1011" spans="10:10" x14ac:dyDescent="0.25">
      <c r="J1011"/>
    </row>
    <row r="1012" spans="10:10" x14ac:dyDescent="0.25">
      <c r="J1012"/>
    </row>
    <row r="1013" spans="10:10" x14ac:dyDescent="0.25">
      <c r="J1013"/>
    </row>
    <row r="1014" spans="10:10" x14ac:dyDescent="0.25">
      <c r="J1014"/>
    </row>
    <row r="1015" spans="10:10" x14ac:dyDescent="0.25">
      <c r="J1015"/>
    </row>
    <row r="1016" spans="10:10" x14ac:dyDescent="0.25">
      <c r="J1016"/>
    </row>
    <row r="1017" spans="10:10" x14ac:dyDescent="0.25">
      <c r="J1017"/>
    </row>
    <row r="1018" spans="10:10" x14ac:dyDescent="0.25">
      <c r="J1018"/>
    </row>
    <row r="1019" spans="10:10" x14ac:dyDescent="0.25">
      <c r="J1019"/>
    </row>
    <row r="1020" spans="10:10" x14ac:dyDescent="0.25">
      <c r="J1020"/>
    </row>
    <row r="1021" spans="10:10" x14ac:dyDescent="0.25">
      <c r="J1021"/>
    </row>
    <row r="1022" spans="10:10" x14ac:dyDescent="0.25">
      <c r="J1022"/>
    </row>
    <row r="1023" spans="10:10" x14ac:dyDescent="0.25">
      <c r="J1023"/>
    </row>
    <row r="1024" spans="10:10" x14ac:dyDescent="0.25">
      <c r="J1024"/>
    </row>
    <row r="1025" spans="10:10" x14ac:dyDescent="0.25">
      <c r="J1025"/>
    </row>
    <row r="1026" spans="10:10" x14ac:dyDescent="0.25">
      <c r="J1026"/>
    </row>
    <row r="1027" spans="10:10" x14ac:dyDescent="0.25">
      <c r="J1027"/>
    </row>
    <row r="1028" spans="10:10" x14ac:dyDescent="0.25">
      <c r="J1028"/>
    </row>
    <row r="1029" spans="10:10" x14ac:dyDescent="0.25">
      <c r="J1029"/>
    </row>
    <row r="1030" spans="10:10" x14ac:dyDescent="0.25">
      <c r="J1030"/>
    </row>
    <row r="1031" spans="10:10" x14ac:dyDescent="0.25">
      <c r="J1031"/>
    </row>
    <row r="1032" spans="10:10" x14ac:dyDescent="0.25">
      <c r="J1032"/>
    </row>
    <row r="1033" spans="10:10" x14ac:dyDescent="0.25">
      <c r="J1033"/>
    </row>
    <row r="1034" spans="10:10" x14ac:dyDescent="0.25">
      <c r="J1034"/>
    </row>
    <row r="1035" spans="10:10" x14ac:dyDescent="0.25">
      <c r="J1035"/>
    </row>
    <row r="1036" spans="10:10" x14ac:dyDescent="0.25">
      <c r="J1036"/>
    </row>
    <row r="1037" spans="10:10" x14ac:dyDescent="0.25">
      <c r="J1037"/>
    </row>
    <row r="1038" spans="10:10" x14ac:dyDescent="0.25">
      <c r="J1038"/>
    </row>
    <row r="1039" spans="10:10" x14ac:dyDescent="0.25">
      <c r="J1039"/>
    </row>
    <row r="1040" spans="10:10" x14ac:dyDescent="0.25">
      <c r="J1040"/>
    </row>
    <row r="1041" spans="10:10" x14ac:dyDescent="0.25">
      <c r="J1041"/>
    </row>
    <row r="1042" spans="10:10" x14ac:dyDescent="0.25">
      <c r="J1042"/>
    </row>
    <row r="1043" spans="10:10" x14ac:dyDescent="0.25">
      <c r="J1043"/>
    </row>
    <row r="1044" spans="10:10" x14ac:dyDescent="0.25">
      <c r="J1044"/>
    </row>
    <row r="1045" spans="10:10" x14ac:dyDescent="0.25">
      <c r="J1045"/>
    </row>
    <row r="1046" spans="10:10" x14ac:dyDescent="0.25">
      <c r="J1046"/>
    </row>
    <row r="1047" spans="10:10" x14ac:dyDescent="0.25">
      <c r="J1047"/>
    </row>
    <row r="1048" spans="10:10" x14ac:dyDescent="0.25">
      <c r="J1048"/>
    </row>
    <row r="1049" spans="10:10" x14ac:dyDescent="0.25">
      <c r="J1049"/>
    </row>
    <row r="1050" spans="10:10" x14ac:dyDescent="0.25">
      <c r="J1050"/>
    </row>
    <row r="1051" spans="10:10" x14ac:dyDescent="0.25">
      <c r="J1051"/>
    </row>
    <row r="1052" spans="10:10" x14ac:dyDescent="0.25">
      <c r="J1052"/>
    </row>
    <row r="1053" spans="10:10" x14ac:dyDescent="0.25">
      <c r="J1053"/>
    </row>
    <row r="1054" spans="10:10" x14ac:dyDescent="0.25">
      <c r="J1054"/>
    </row>
    <row r="1055" spans="10:10" x14ac:dyDescent="0.25">
      <c r="J1055"/>
    </row>
    <row r="1056" spans="10:10" x14ac:dyDescent="0.25">
      <c r="J1056"/>
    </row>
    <row r="1057" spans="10:10" x14ac:dyDescent="0.25">
      <c r="J1057"/>
    </row>
    <row r="1058" spans="10:10" x14ac:dyDescent="0.25">
      <c r="J1058"/>
    </row>
    <row r="1059" spans="10:10" x14ac:dyDescent="0.25">
      <c r="J1059"/>
    </row>
    <row r="1060" spans="10:10" x14ac:dyDescent="0.25">
      <c r="J1060"/>
    </row>
    <row r="1061" spans="10:10" x14ac:dyDescent="0.25">
      <c r="J1061"/>
    </row>
    <row r="1062" spans="10:10" x14ac:dyDescent="0.25">
      <c r="J1062"/>
    </row>
    <row r="1063" spans="10:10" x14ac:dyDescent="0.25">
      <c r="J1063"/>
    </row>
    <row r="1064" spans="10:10" x14ac:dyDescent="0.25">
      <c r="J1064"/>
    </row>
    <row r="1065" spans="10:10" x14ac:dyDescent="0.25">
      <c r="J1065"/>
    </row>
    <row r="1066" spans="10:10" x14ac:dyDescent="0.25">
      <c r="J1066"/>
    </row>
    <row r="1067" spans="10:10" x14ac:dyDescent="0.25">
      <c r="J1067"/>
    </row>
    <row r="1068" spans="10:10" x14ac:dyDescent="0.25">
      <c r="J1068"/>
    </row>
    <row r="1069" spans="10:10" x14ac:dyDescent="0.25">
      <c r="J1069"/>
    </row>
    <row r="1070" spans="10:10" x14ac:dyDescent="0.25">
      <c r="J1070"/>
    </row>
    <row r="1071" spans="10:10" x14ac:dyDescent="0.25">
      <c r="J1071"/>
    </row>
    <row r="1072" spans="10:10" x14ac:dyDescent="0.25">
      <c r="J1072"/>
    </row>
    <row r="1073" spans="10:10" x14ac:dyDescent="0.25">
      <c r="J1073"/>
    </row>
    <row r="1074" spans="10:10" x14ac:dyDescent="0.25">
      <c r="J1074"/>
    </row>
    <row r="1075" spans="10:10" x14ac:dyDescent="0.25">
      <c r="J1075"/>
    </row>
    <row r="1076" spans="10:10" x14ac:dyDescent="0.25">
      <c r="J1076"/>
    </row>
    <row r="1077" spans="10:10" x14ac:dyDescent="0.25">
      <c r="J1077"/>
    </row>
    <row r="1078" spans="10:10" x14ac:dyDescent="0.25">
      <c r="J1078"/>
    </row>
    <row r="1079" spans="10:10" x14ac:dyDescent="0.25">
      <c r="J1079"/>
    </row>
    <row r="1080" spans="10:10" x14ac:dyDescent="0.25">
      <c r="J1080"/>
    </row>
    <row r="1081" spans="10:10" x14ac:dyDescent="0.25">
      <c r="J1081"/>
    </row>
    <row r="1082" spans="10:10" x14ac:dyDescent="0.25">
      <c r="J1082"/>
    </row>
    <row r="1083" spans="10:10" x14ac:dyDescent="0.25">
      <c r="J1083"/>
    </row>
    <row r="1084" spans="10:10" x14ac:dyDescent="0.25">
      <c r="J1084"/>
    </row>
    <row r="1085" spans="10:10" x14ac:dyDescent="0.25">
      <c r="J1085"/>
    </row>
    <row r="1086" spans="10:10" x14ac:dyDescent="0.25">
      <c r="J1086"/>
    </row>
    <row r="1087" spans="10:10" x14ac:dyDescent="0.25">
      <c r="J1087"/>
    </row>
    <row r="1088" spans="10:10" x14ac:dyDescent="0.25">
      <c r="J1088"/>
    </row>
    <row r="1089" spans="10:10" x14ac:dyDescent="0.25">
      <c r="J1089"/>
    </row>
    <row r="1090" spans="10:10" x14ac:dyDescent="0.25">
      <c r="J1090"/>
    </row>
    <row r="1091" spans="10:10" x14ac:dyDescent="0.25">
      <c r="J1091"/>
    </row>
    <row r="1092" spans="10:10" x14ac:dyDescent="0.25">
      <c r="J1092"/>
    </row>
    <row r="1093" spans="10:10" x14ac:dyDescent="0.25">
      <c r="J1093"/>
    </row>
    <row r="1094" spans="10:10" x14ac:dyDescent="0.25">
      <c r="J1094"/>
    </row>
    <row r="1095" spans="10:10" x14ac:dyDescent="0.25">
      <c r="J1095"/>
    </row>
    <row r="1096" spans="10:10" x14ac:dyDescent="0.25">
      <c r="J1096"/>
    </row>
    <row r="1097" spans="10:10" x14ac:dyDescent="0.25">
      <c r="J1097"/>
    </row>
    <row r="1098" spans="10:10" x14ac:dyDescent="0.25">
      <c r="J1098"/>
    </row>
    <row r="1099" spans="10:10" x14ac:dyDescent="0.25">
      <c r="J1099"/>
    </row>
    <row r="1100" spans="10:10" x14ac:dyDescent="0.25">
      <c r="J1100"/>
    </row>
    <row r="1101" spans="10:10" x14ac:dyDescent="0.25">
      <c r="J1101"/>
    </row>
    <row r="1102" spans="10:10" x14ac:dyDescent="0.25">
      <c r="J1102"/>
    </row>
    <row r="1103" spans="10:10" x14ac:dyDescent="0.25">
      <c r="J1103"/>
    </row>
    <row r="1104" spans="10:10" x14ac:dyDescent="0.25">
      <c r="J1104"/>
    </row>
    <row r="1105" spans="10:10" x14ac:dyDescent="0.25">
      <c r="J1105"/>
    </row>
    <row r="1106" spans="10:10" x14ac:dyDescent="0.25">
      <c r="J1106"/>
    </row>
    <row r="1107" spans="10:10" x14ac:dyDescent="0.25">
      <c r="J1107"/>
    </row>
    <row r="1108" spans="10:10" x14ac:dyDescent="0.25">
      <c r="J1108"/>
    </row>
    <row r="1109" spans="10:10" x14ac:dyDescent="0.25">
      <c r="J1109"/>
    </row>
    <row r="1110" spans="10:10" x14ac:dyDescent="0.25">
      <c r="J1110"/>
    </row>
    <row r="1111" spans="10:10" x14ac:dyDescent="0.25">
      <c r="J1111"/>
    </row>
    <row r="1112" spans="10:10" x14ac:dyDescent="0.25">
      <c r="J1112"/>
    </row>
    <row r="1113" spans="10:10" x14ac:dyDescent="0.25">
      <c r="J1113"/>
    </row>
    <row r="1114" spans="10:10" x14ac:dyDescent="0.25">
      <c r="J1114"/>
    </row>
    <row r="1115" spans="10:10" x14ac:dyDescent="0.25">
      <c r="J1115"/>
    </row>
    <row r="1116" spans="10:10" x14ac:dyDescent="0.25">
      <c r="J1116"/>
    </row>
    <row r="1117" spans="10:10" x14ac:dyDescent="0.25">
      <c r="J1117"/>
    </row>
    <row r="1118" spans="10:10" x14ac:dyDescent="0.25">
      <c r="J1118"/>
    </row>
    <row r="1119" spans="10:10" x14ac:dyDescent="0.25">
      <c r="J1119"/>
    </row>
    <row r="1120" spans="10:10" x14ac:dyDescent="0.25">
      <c r="J1120"/>
    </row>
    <row r="1121" spans="10:10" x14ac:dyDescent="0.25">
      <c r="J1121"/>
    </row>
    <row r="1122" spans="10:10" x14ac:dyDescent="0.25">
      <c r="J1122"/>
    </row>
    <row r="1123" spans="10:10" x14ac:dyDescent="0.25">
      <c r="J1123"/>
    </row>
    <row r="1124" spans="10:10" x14ac:dyDescent="0.25">
      <c r="J1124"/>
    </row>
    <row r="1125" spans="10:10" x14ac:dyDescent="0.25">
      <c r="J1125"/>
    </row>
    <row r="1126" spans="10:10" x14ac:dyDescent="0.25">
      <c r="J1126"/>
    </row>
    <row r="1127" spans="10:10" x14ac:dyDescent="0.25">
      <c r="J1127"/>
    </row>
    <row r="1128" spans="10:10" x14ac:dyDescent="0.25">
      <c r="J1128"/>
    </row>
    <row r="1129" spans="10:10" x14ac:dyDescent="0.25">
      <c r="J1129"/>
    </row>
    <row r="1130" spans="10:10" x14ac:dyDescent="0.25">
      <c r="J1130"/>
    </row>
    <row r="1131" spans="10:10" x14ac:dyDescent="0.25">
      <c r="J1131"/>
    </row>
    <row r="1132" spans="10:10" x14ac:dyDescent="0.25">
      <c r="J1132"/>
    </row>
    <row r="1133" spans="10:10" x14ac:dyDescent="0.25">
      <c r="J1133"/>
    </row>
    <row r="1134" spans="10:10" x14ac:dyDescent="0.25">
      <c r="J1134"/>
    </row>
    <row r="1135" spans="10:10" x14ac:dyDescent="0.25">
      <c r="J1135"/>
    </row>
    <row r="1136" spans="10:10" x14ac:dyDescent="0.25">
      <c r="J1136"/>
    </row>
    <row r="1137" spans="10:10" x14ac:dyDescent="0.25">
      <c r="J1137"/>
    </row>
    <row r="1138" spans="10:10" x14ac:dyDescent="0.25">
      <c r="J1138"/>
    </row>
    <row r="1139" spans="10:10" x14ac:dyDescent="0.25">
      <c r="J1139"/>
    </row>
    <row r="1140" spans="10:10" x14ac:dyDescent="0.25">
      <c r="J1140"/>
    </row>
    <row r="1141" spans="10:10" x14ac:dyDescent="0.25">
      <c r="J1141"/>
    </row>
    <row r="1142" spans="10:10" x14ac:dyDescent="0.25">
      <c r="J1142"/>
    </row>
    <row r="1143" spans="10:10" x14ac:dyDescent="0.25">
      <c r="J1143"/>
    </row>
    <row r="1144" spans="10:10" x14ac:dyDescent="0.25">
      <c r="J1144"/>
    </row>
    <row r="1145" spans="10:10" x14ac:dyDescent="0.25">
      <c r="J1145"/>
    </row>
    <row r="1146" spans="10:10" x14ac:dyDescent="0.25">
      <c r="J1146"/>
    </row>
    <row r="1147" spans="10:10" x14ac:dyDescent="0.25">
      <c r="J1147"/>
    </row>
    <row r="1148" spans="10:10" x14ac:dyDescent="0.25">
      <c r="J1148"/>
    </row>
    <row r="1149" spans="10:10" x14ac:dyDescent="0.25">
      <c r="J1149"/>
    </row>
    <row r="1150" spans="10:10" x14ac:dyDescent="0.25">
      <c r="J1150"/>
    </row>
    <row r="1151" spans="10:10" x14ac:dyDescent="0.25">
      <c r="J1151"/>
    </row>
    <row r="1152" spans="10:10" x14ac:dyDescent="0.25">
      <c r="J1152"/>
    </row>
    <row r="1153" spans="10:10" x14ac:dyDescent="0.25">
      <c r="J1153"/>
    </row>
    <row r="1154" spans="10:10" x14ac:dyDescent="0.25">
      <c r="J1154"/>
    </row>
    <row r="1155" spans="10:10" x14ac:dyDescent="0.25">
      <c r="J1155"/>
    </row>
    <row r="1156" spans="10:10" x14ac:dyDescent="0.25">
      <c r="J1156"/>
    </row>
    <row r="1157" spans="10:10" x14ac:dyDescent="0.25">
      <c r="J1157"/>
    </row>
    <row r="1158" spans="10:10" x14ac:dyDescent="0.25">
      <c r="J1158"/>
    </row>
    <row r="1159" spans="10:10" x14ac:dyDescent="0.25">
      <c r="J1159"/>
    </row>
    <row r="1160" spans="10:10" x14ac:dyDescent="0.25">
      <c r="J1160"/>
    </row>
    <row r="1161" spans="10:10" x14ac:dyDescent="0.25">
      <c r="J1161"/>
    </row>
    <row r="1162" spans="10:10" x14ac:dyDescent="0.25">
      <c r="J1162"/>
    </row>
    <row r="1163" spans="10:10" x14ac:dyDescent="0.25">
      <c r="J1163"/>
    </row>
    <row r="1164" spans="10:10" x14ac:dyDescent="0.25">
      <c r="J1164"/>
    </row>
    <row r="1165" spans="10:10" x14ac:dyDescent="0.25">
      <c r="J1165"/>
    </row>
    <row r="1166" spans="10:10" x14ac:dyDescent="0.25">
      <c r="J1166"/>
    </row>
    <row r="1167" spans="10:10" x14ac:dyDescent="0.25">
      <c r="J1167"/>
    </row>
    <row r="1168" spans="10:10" x14ac:dyDescent="0.25">
      <c r="J1168"/>
    </row>
    <row r="1169" spans="10:10" x14ac:dyDescent="0.25">
      <c r="J1169"/>
    </row>
    <row r="1170" spans="10:10" x14ac:dyDescent="0.25">
      <c r="J1170"/>
    </row>
    <row r="1171" spans="10:10" x14ac:dyDescent="0.25">
      <c r="J1171"/>
    </row>
    <row r="1172" spans="10:10" x14ac:dyDescent="0.25">
      <c r="J1172"/>
    </row>
    <row r="1173" spans="10:10" x14ac:dyDescent="0.25">
      <c r="J1173"/>
    </row>
    <row r="1174" spans="10:10" x14ac:dyDescent="0.25">
      <c r="J1174"/>
    </row>
    <row r="1175" spans="10:10" x14ac:dyDescent="0.25">
      <c r="J1175"/>
    </row>
    <row r="1176" spans="10:10" x14ac:dyDescent="0.25">
      <c r="J1176"/>
    </row>
    <row r="1177" spans="10:10" x14ac:dyDescent="0.25">
      <c r="J1177"/>
    </row>
    <row r="1178" spans="10:10" x14ac:dyDescent="0.25">
      <c r="J1178"/>
    </row>
    <row r="1179" spans="10:10" x14ac:dyDescent="0.25">
      <c r="J1179"/>
    </row>
    <row r="1180" spans="10:10" x14ac:dyDescent="0.25">
      <c r="J1180"/>
    </row>
    <row r="1181" spans="10:10" x14ac:dyDescent="0.25">
      <c r="J1181"/>
    </row>
    <row r="1182" spans="10:10" x14ac:dyDescent="0.25">
      <c r="J1182"/>
    </row>
    <row r="1183" spans="10:10" x14ac:dyDescent="0.25">
      <c r="J1183"/>
    </row>
    <row r="1184" spans="10:10" x14ac:dyDescent="0.25">
      <c r="J1184"/>
    </row>
    <row r="1185" spans="10:10" x14ac:dyDescent="0.25">
      <c r="J1185"/>
    </row>
    <row r="1186" spans="10:10" x14ac:dyDescent="0.25">
      <c r="J1186"/>
    </row>
    <row r="1187" spans="10:10" x14ac:dyDescent="0.25">
      <c r="J1187"/>
    </row>
    <row r="1188" spans="10:10" x14ac:dyDescent="0.25">
      <c r="J1188"/>
    </row>
    <row r="1189" spans="10:10" x14ac:dyDescent="0.25">
      <c r="J1189"/>
    </row>
    <row r="1190" spans="10:10" x14ac:dyDescent="0.25">
      <c r="J1190"/>
    </row>
    <row r="1191" spans="10:10" x14ac:dyDescent="0.25">
      <c r="J1191"/>
    </row>
    <row r="1192" spans="10:10" x14ac:dyDescent="0.25">
      <c r="J1192"/>
    </row>
    <row r="1193" spans="10:10" x14ac:dyDescent="0.25">
      <c r="J1193"/>
    </row>
    <row r="1194" spans="10:10" x14ac:dyDescent="0.25">
      <c r="J1194"/>
    </row>
    <row r="1195" spans="10:10" x14ac:dyDescent="0.25">
      <c r="J1195"/>
    </row>
    <row r="1196" spans="10:10" x14ac:dyDescent="0.25">
      <c r="J1196"/>
    </row>
    <row r="1197" spans="10:10" x14ac:dyDescent="0.25">
      <c r="J1197"/>
    </row>
    <row r="1198" spans="10:10" x14ac:dyDescent="0.25">
      <c r="J1198"/>
    </row>
    <row r="1199" spans="10:10" x14ac:dyDescent="0.25">
      <c r="J1199"/>
    </row>
    <row r="1200" spans="10:10" x14ac:dyDescent="0.25">
      <c r="J1200"/>
    </row>
    <row r="1201" spans="10:10" x14ac:dyDescent="0.25">
      <c r="J1201"/>
    </row>
    <row r="1202" spans="10:10" x14ac:dyDescent="0.25">
      <c r="J1202"/>
    </row>
    <row r="1203" spans="10:10" x14ac:dyDescent="0.25">
      <c r="J1203"/>
    </row>
    <row r="1204" spans="10:10" x14ac:dyDescent="0.25">
      <c r="J1204"/>
    </row>
    <row r="1205" spans="10:10" x14ac:dyDescent="0.25">
      <c r="J1205"/>
    </row>
    <row r="1206" spans="10:10" x14ac:dyDescent="0.25">
      <c r="J1206"/>
    </row>
    <row r="1207" spans="10:10" x14ac:dyDescent="0.25">
      <c r="J1207"/>
    </row>
    <row r="1208" spans="10:10" x14ac:dyDescent="0.25">
      <c r="J1208"/>
    </row>
    <row r="1209" spans="10:10" x14ac:dyDescent="0.25">
      <c r="J1209"/>
    </row>
    <row r="1210" spans="10:10" x14ac:dyDescent="0.25">
      <c r="J1210"/>
    </row>
    <row r="1211" spans="10:10" x14ac:dyDescent="0.25">
      <c r="J1211"/>
    </row>
    <row r="1212" spans="10:10" x14ac:dyDescent="0.25">
      <c r="J1212"/>
    </row>
    <row r="1213" spans="10:10" x14ac:dyDescent="0.25">
      <c r="J1213"/>
    </row>
    <row r="1214" spans="10:10" x14ac:dyDescent="0.25">
      <c r="J1214"/>
    </row>
    <row r="1215" spans="10:10" x14ac:dyDescent="0.25">
      <c r="J1215"/>
    </row>
    <row r="1216" spans="10:10" x14ac:dyDescent="0.25">
      <c r="J1216"/>
    </row>
    <row r="1217" spans="10:10" x14ac:dyDescent="0.25">
      <c r="J1217"/>
    </row>
    <row r="1218" spans="10:10" x14ac:dyDescent="0.25">
      <c r="J1218"/>
    </row>
    <row r="1219" spans="10:10" x14ac:dyDescent="0.25">
      <c r="J1219"/>
    </row>
    <row r="1220" spans="10:10" x14ac:dyDescent="0.25">
      <c r="J1220"/>
    </row>
    <row r="1221" spans="10:10" x14ac:dyDescent="0.25">
      <c r="J1221"/>
    </row>
    <row r="1222" spans="10:10" x14ac:dyDescent="0.25">
      <c r="J1222"/>
    </row>
    <row r="1223" spans="10:10" x14ac:dyDescent="0.25">
      <c r="J1223"/>
    </row>
    <row r="1224" spans="10:10" x14ac:dyDescent="0.25">
      <c r="J1224"/>
    </row>
    <row r="1225" spans="10:10" x14ac:dyDescent="0.25">
      <c r="J1225"/>
    </row>
    <row r="1226" spans="10:10" x14ac:dyDescent="0.25">
      <c r="J1226"/>
    </row>
    <row r="1227" spans="10:10" x14ac:dyDescent="0.25">
      <c r="J1227"/>
    </row>
    <row r="1228" spans="10:10" x14ac:dyDescent="0.25">
      <c r="J1228"/>
    </row>
    <row r="1229" spans="10:10" x14ac:dyDescent="0.25">
      <c r="J1229"/>
    </row>
    <row r="1230" spans="10:10" x14ac:dyDescent="0.25">
      <c r="J1230"/>
    </row>
    <row r="1231" spans="10:10" x14ac:dyDescent="0.25">
      <c r="J1231"/>
    </row>
    <row r="1232" spans="10:10" x14ac:dyDescent="0.25">
      <c r="J1232"/>
    </row>
    <row r="1233" spans="10:10" x14ac:dyDescent="0.25">
      <c r="J1233"/>
    </row>
    <row r="1234" spans="10:10" x14ac:dyDescent="0.25">
      <c r="J1234"/>
    </row>
    <row r="1235" spans="10:10" x14ac:dyDescent="0.25">
      <c r="J1235"/>
    </row>
    <row r="1236" spans="10:10" x14ac:dyDescent="0.25">
      <c r="J1236"/>
    </row>
    <row r="1237" spans="10:10" x14ac:dyDescent="0.25">
      <c r="J1237"/>
    </row>
    <row r="1238" spans="10:10" x14ac:dyDescent="0.25">
      <c r="J1238"/>
    </row>
    <row r="1239" spans="10:10" x14ac:dyDescent="0.25">
      <c r="J1239"/>
    </row>
    <row r="1240" spans="10:10" x14ac:dyDescent="0.25">
      <c r="J1240"/>
    </row>
    <row r="1241" spans="10:10" x14ac:dyDescent="0.25">
      <c r="J1241"/>
    </row>
    <row r="1242" spans="10:10" x14ac:dyDescent="0.25">
      <c r="J1242"/>
    </row>
    <row r="1243" spans="10:10" x14ac:dyDescent="0.25">
      <c r="J1243"/>
    </row>
    <row r="1244" spans="10:10" x14ac:dyDescent="0.25">
      <c r="J1244"/>
    </row>
    <row r="1245" spans="10:10" x14ac:dyDescent="0.25">
      <c r="J1245"/>
    </row>
    <row r="1246" spans="10:10" x14ac:dyDescent="0.25">
      <c r="J1246"/>
    </row>
    <row r="1247" spans="10:10" x14ac:dyDescent="0.25">
      <c r="J1247"/>
    </row>
    <row r="1248" spans="10:10" x14ac:dyDescent="0.25">
      <c r="J1248"/>
    </row>
    <row r="1249" spans="10:10" x14ac:dyDescent="0.25">
      <c r="J1249"/>
    </row>
    <row r="1250" spans="10:10" x14ac:dyDescent="0.25">
      <c r="J1250"/>
    </row>
    <row r="1251" spans="10:10" x14ac:dyDescent="0.25">
      <c r="J1251"/>
    </row>
    <row r="1252" spans="10:10" x14ac:dyDescent="0.25">
      <c r="J1252"/>
    </row>
    <row r="1253" spans="10:10" x14ac:dyDescent="0.25">
      <c r="J1253"/>
    </row>
    <row r="1254" spans="10:10" x14ac:dyDescent="0.25">
      <c r="J1254"/>
    </row>
    <row r="1255" spans="10:10" x14ac:dyDescent="0.25">
      <c r="J1255"/>
    </row>
    <row r="1256" spans="10:10" x14ac:dyDescent="0.25">
      <c r="J1256"/>
    </row>
    <row r="1257" spans="10:10" x14ac:dyDescent="0.25">
      <c r="J1257"/>
    </row>
    <row r="1258" spans="10:10" x14ac:dyDescent="0.25">
      <c r="J1258"/>
    </row>
    <row r="1259" spans="10:10" x14ac:dyDescent="0.25">
      <c r="J1259"/>
    </row>
    <row r="1260" spans="10:10" x14ac:dyDescent="0.25">
      <c r="J1260"/>
    </row>
    <row r="1261" spans="10:10" x14ac:dyDescent="0.25">
      <c r="J1261"/>
    </row>
    <row r="1262" spans="10:10" x14ac:dyDescent="0.25">
      <c r="J1262"/>
    </row>
    <row r="1263" spans="10:10" x14ac:dyDescent="0.25">
      <c r="J1263"/>
    </row>
    <row r="1264" spans="10:10" x14ac:dyDescent="0.25">
      <c r="J1264"/>
    </row>
    <row r="1265" spans="10:10" x14ac:dyDescent="0.25">
      <c r="J1265"/>
    </row>
    <row r="1266" spans="10:10" x14ac:dyDescent="0.25">
      <c r="J1266"/>
    </row>
    <row r="1267" spans="10:10" x14ac:dyDescent="0.25">
      <c r="J1267"/>
    </row>
    <row r="1268" spans="10:10" x14ac:dyDescent="0.25">
      <c r="J1268"/>
    </row>
    <row r="1269" spans="10:10" x14ac:dyDescent="0.25">
      <c r="J1269"/>
    </row>
    <row r="1270" spans="10:10" x14ac:dyDescent="0.25">
      <c r="J1270"/>
    </row>
    <row r="1271" spans="10:10" x14ac:dyDescent="0.25">
      <c r="J1271"/>
    </row>
    <row r="1272" spans="10:10" x14ac:dyDescent="0.25">
      <c r="J1272"/>
    </row>
    <row r="1273" spans="10:10" x14ac:dyDescent="0.25">
      <c r="J1273"/>
    </row>
    <row r="1274" spans="10:10" x14ac:dyDescent="0.25">
      <c r="J1274"/>
    </row>
    <row r="1275" spans="10:10" x14ac:dyDescent="0.25">
      <c r="J1275"/>
    </row>
    <row r="1276" spans="10:10" x14ac:dyDescent="0.25">
      <c r="J1276"/>
    </row>
    <row r="1277" spans="10:10" x14ac:dyDescent="0.25">
      <c r="J1277"/>
    </row>
    <row r="1278" spans="10:10" x14ac:dyDescent="0.25">
      <c r="J1278"/>
    </row>
    <row r="1279" spans="10:10" x14ac:dyDescent="0.25">
      <c r="J1279"/>
    </row>
    <row r="1280" spans="10:10" x14ac:dyDescent="0.25">
      <c r="J1280"/>
    </row>
    <row r="1281" spans="10:10" x14ac:dyDescent="0.25">
      <c r="J1281"/>
    </row>
    <row r="1282" spans="10:10" x14ac:dyDescent="0.25">
      <c r="J1282"/>
    </row>
    <row r="1283" spans="10:10" x14ac:dyDescent="0.25">
      <c r="J1283"/>
    </row>
    <row r="1284" spans="10:10" x14ac:dyDescent="0.25">
      <c r="J1284"/>
    </row>
    <row r="1285" spans="10:10" x14ac:dyDescent="0.25">
      <c r="J1285"/>
    </row>
    <row r="1286" spans="10:10" x14ac:dyDescent="0.25">
      <c r="J1286"/>
    </row>
    <row r="1287" spans="10:10" x14ac:dyDescent="0.25">
      <c r="J1287"/>
    </row>
    <row r="1288" spans="10:10" x14ac:dyDescent="0.25">
      <c r="J1288"/>
    </row>
    <row r="1289" spans="10:10" x14ac:dyDescent="0.25">
      <c r="J1289"/>
    </row>
    <row r="1290" spans="10:10" x14ac:dyDescent="0.25">
      <c r="J1290"/>
    </row>
    <row r="1291" spans="10:10" x14ac:dyDescent="0.25">
      <c r="J1291"/>
    </row>
    <row r="1292" spans="10:10" x14ac:dyDescent="0.25">
      <c r="J1292"/>
    </row>
    <row r="1293" spans="10:10" x14ac:dyDescent="0.25">
      <c r="J1293"/>
    </row>
    <row r="1294" spans="10:10" x14ac:dyDescent="0.25">
      <c r="J1294"/>
    </row>
    <row r="1295" spans="10:10" x14ac:dyDescent="0.25">
      <c r="J1295"/>
    </row>
    <row r="1296" spans="10:10" x14ac:dyDescent="0.25">
      <c r="J1296"/>
    </row>
    <row r="1297" spans="10:10" x14ac:dyDescent="0.25">
      <c r="J1297"/>
    </row>
    <row r="1298" spans="10:10" x14ac:dyDescent="0.25">
      <c r="J1298"/>
    </row>
    <row r="1299" spans="10:10" x14ac:dyDescent="0.25">
      <c r="J1299"/>
    </row>
    <row r="1300" spans="10:10" x14ac:dyDescent="0.25">
      <c r="J1300"/>
    </row>
    <row r="1301" spans="10:10" x14ac:dyDescent="0.25">
      <c r="J1301"/>
    </row>
    <row r="1302" spans="10:10" x14ac:dyDescent="0.25">
      <c r="J1302"/>
    </row>
    <row r="1303" spans="10:10" x14ac:dyDescent="0.25">
      <c r="J1303"/>
    </row>
    <row r="1304" spans="10:10" x14ac:dyDescent="0.25">
      <c r="J1304"/>
    </row>
    <row r="1305" spans="10:10" x14ac:dyDescent="0.25">
      <c r="J1305"/>
    </row>
    <row r="1306" spans="10:10" x14ac:dyDescent="0.25">
      <c r="J1306"/>
    </row>
    <row r="1307" spans="10:10" x14ac:dyDescent="0.25">
      <c r="J1307"/>
    </row>
    <row r="1308" spans="10:10" x14ac:dyDescent="0.25">
      <c r="J1308"/>
    </row>
    <row r="1309" spans="10:10" x14ac:dyDescent="0.25">
      <c r="J1309"/>
    </row>
    <row r="1310" spans="10:10" x14ac:dyDescent="0.25">
      <c r="J1310"/>
    </row>
    <row r="1311" spans="10:10" x14ac:dyDescent="0.25">
      <c r="J1311"/>
    </row>
    <row r="1312" spans="10:10" x14ac:dyDescent="0.25">
      <c r="J1312"/>
    </row>
    <row r="1313" spans="10:10" x14ac:dyDescent="0.25">
      <c r="J1313"/>
    </row>
    <row r="1314" spans="10:10" x14ac:dyDescent="0.25">
      <c r="J1314"/>
    </row>
    <row r="1315" spans="10:10" x14ac:dyDescent="0.25">
      <c r="J1315"/>
    </row>
    <row r="1316" spans="10:10" x14ac:dyDescent="0.25">
      <c r="J1316"/>
    </row>
    <row r="1317" spans="10:10" x14ac:dyDescent="0.25">
      <c r="J1317"/>
    </row>
    <row r="1318" spans="10:10" x14ac:dyDescent="0.25">
      <c r="J1318"/>
    </row>
    <row r="1319" spans="10:10" x14ac:dyDescent="0.25">
      <c r="J1319"/>
    </row>
    <row r="1320" spans="10:10" x14ac:dyDescent="0.25">
      <c r="J1320"/>
    </row>
    <row r="1321" spans="10:10" x14ac:dyDescent="0.25">
      <c r="J1321"/>
    </row>
    <row r="1322" spans="10:10" x14ac:dyDescent="0.25">
      <c r="J1322"/>
    </row>
    <row r="1323" spans="10:10" x14ac:dyDescent="0.25">
      <c r="J1323"/>
    </row>
    <row r="1324" spans="10:10" x14ac:dyDescent="0.25">
      <c r="J1324"/>
    </row>
    <row r="1325" spans="10:10" x14ac:dyDescent="0.25">
      <c r="J1325"/>
    </row>
    <row r="1326" spans="10:10" x14ac:dyDescent="0.25">
      <c r="J1326"/>
    </row>
    <row r="1327" spans="10:10" x14ac:dyDescent="0.25">
      <c r="J1327"/>
    </row>
    <row r="1328" spans="10:10" x14ac:dyDescent="0.25">
      <c r="J1328"/>
    </row>
    <row r="1329" spans="10:10" x14ac:dyDescent="0.25">
      <c r="J1329"/>
    </row>
    <row r="1330" spans="10:10" x14ac:dyDescent="0.25">
      <c r="J1330"/>
    </row>
    <row r="1331" spans="10:10" x14ac:dyDescent="0.25">
      <c r="J1331"/>
    </row>
    <row r="1332" spans="10:10" x14ac:dyDescent="0.25">
      <c r="J1332"/>
    </row>
    <row r="1333" spans="10:10" x14ac:dyDescent="0.25">
      <c r="J1333"/>
    </row>
    <row r="1334" spans="10:10" x14ac:dyDescent="0.25">
      <c r="J1334"/>
    </row>
    <row r="1335" spans="10:10" x14ac:dyDescent="0.25">
      <c r="J1335"/>
    </row>
    <row r="1336" spans="10:10" x14ac:dyDescent="0.25">
      <c r="J1336"/>
    </row>
    <row r="1337" spans="10:10" x14ac:dyDescent="0.25">
      <c r="J1337"/>
    </row>
    <row r="1338" spans="10:10" x14ac:dyDescent="0.25">
      <c r="J1338"/>
    </row>
    <row r="1339" spans="10:10" x14ac:dyDescent="0.25">
      <c r="J1339"/>
    </row>
    <row r="1340" spans="10:10" x14ac:dyDescent="0.25">
      <c r="J1340"/>
    </row>
    <row r="1341" spans="10:10" x14ac:dyDescent="0.25">
      <c r="J1341"/>
    </row>
    <row r="1342" spans="10:10" x14ac:dyDescent="0.25">
      <c r="J1342"/>
    </row>
    <row r="1343" spans="10:10" x14ac:dyDescent="0.25">
      <c r="J1343"/>
    </row>
    <row r="1344" spans="10:10" x14ac:dyDescent="0.25">
      <c r="J1344"/>
    </row>
    <row r="1345" spans="10:10" x14ac:dyDescent="0.25">
      <c r="J1345"/>
    </row>
    <row r="1346" spans="10:10" x14ac:dyDescent="0.25">
      <c r="J1346"/>
    </row>
    <row r="1347" spans="10:10" x14ac:dyDescent="0.25">
      <c r="J1347"/>
    </row>
    <row r="1348" spans="10:10" x14ac:dyDescent="0.25">
      <c r="J1348"/>
    </row>
    <row r="1349" spans="10:10" x14ac:dyDescent="0.25">
      <c r="J1349"/>
    </row>
    <row r="1350" spans="10:10" x14ac:dyDescent="0.25">
      <c r="J1350"/>
    </row>
    <row r="1351" spans="10:10" x14ac:dyDescent="0.25">
      <c r="J1351"/>
    </row>
    <row r="1352" spans="10:10" x14ac:dyDescent="0.25">
      <c r="J1352"/>
    </row>
    <row r="1353" spans="10:10" x14ac:dyDescent="0.25">
      <c r="J1353"/>
    </row>
    <row r="1354" spans="10:10" x14ac:dyDescent="0.25">
      <c r="J1354"/>
    </row>
    <row r="1355" spans="10:10" x14ac:dyDescent="0.25">
      <c r="J1355"/>
    </row>
    <row r="1356" spans="10:10" x14ac:dyDescent="0.25">
      <c r="J1356"/>
    </row>
    <row r="1357" spans="10:10" x14ac:dyDescent="0.25">
      <c r="J1357"/>
    </row>
    <row r="1358" spans="10:10" x14ac:dyDescent="0.25">
      <c r="J1358"/>
    </row>
    <row r="1359" spans="10:10" x14ac:dyDescent="0.25">
      <c r="J1359"/>
    </row>
    <row r="1360" spans="10:10" x14ac:dyDescent="0.25">
      <c r="J1360"/>
    </row>
    <row r="1361" spans="10:10" x14ac:dyDescent="0.25">
      <c r="J1361"/>
    </row>
    <row r="1362" spans="10:10" x14ac:dyDescent="0.25">
      <c r="J1362"/>
    </row>
    <row r="1363" spans="10:10" x14ac:dyDescent="0.25">
      <c r="J1363"/>
    </row>
    <row r="1364" spans="10:10" x14ac:dyDescent="0.25">
      <c r="J1364"/>
    </row>
    <row r="1365" spans="10:10" x14ac:dyDescent="0.25">
      <c r="J1365"/>
    </row>
    <row r="1366" spans="10:10" x14ac:dyDescent="0.25">
      <c r="J1366"/>
    </row>
    <row r="1367" spans="10:10" x14ac:dyDescent="0.25">
      <c r="J1367"/>
    </row>
    <row r="1368" spans="10:10" x14ac:dyDescent="0.25">
      <c r="J1368"/>
    </row>
    <row r="1369" spans="10:10" x14ac:dyDescent="0.25">
      <c r="J1369"/>
    </row>
    <row r="1370" spans="10:10" x14ac:dyDescent="0.25">
      <c r="J1370"/>
    </row>
    <row r="1371" spans="10:10" x14ac:dyDescent="0.25">
      <c r="J1371"/>
    </row>
    <row r="1372" spans="10:10" x14ac:dyDescent="0.25">
      <c r="J1372"/>
    </row>
    <row r="1373" spans="10:10" x14ac:dyDescent="0.25">
      <c r="J1373"/>
    </row>
    <row r="1374" spans="10:10" x14ac:dyDescent="0.25">
      <c r="J1374"/>
    </row>
    <row r="1375" spans="10:10" x14ac:dyDescent="0.25">
      <c r="J1375"/>
    </row>
    <row r="1376" spans="10:10" x14ac:dyDescent="0.25">
      <c r="J1376"/>
    </row>
    <row r="1377" spans="10:10" x14ac:dyDescent="0.25">
      <c r="J1377"/>
    </row>
    <row r="1378" spans="10:10" x14ac:dyDescent="0.25">
      <c r="J1378"/>
    </row>
    <row r="1379" spans="10:10" x14ac:dyDescent="0.25">
      <c r="J1379"/>
    </row>
    <row r="1380" spans="10:10" x14ac:dyDescent="0.25">
      <c r="J1380"/>
    </row>
    <row r="1381" spans="10:10" x14ac:dyDescent="0.25">
      <c r="J1381"/>
    </row>
    <row r="1382" spans="10:10" x14ac:dyDescent="0.25">
      <c r="J1382"/>
    </row>
    <row r="1383" spans="10:10" x14ac:dyDescent="0.25">
      <c r="J1383"/>
    </row>
    <row r="1384" spans="10:10" x14ac:dyDescent="0.25">
      <c r="J1384"/>
    </row>
    <row r="1385" spans="10:10" x14ac:dyDescent="0.25">
      <c r="J1385"/>
    </row>
    <row r="1386" spans="10:10" x14ac:dyDescent="0.25">
      <c r="J1386"/>
    </row>
    <row r="1387" spans="10:10" x14ac:dyDescent="0.25">
      <c r="J1387"/>
    </row>
    <row r="1388" spans="10:10" x14ac:dyDescent="0.25">
      <c r="J1388"/>
    </row>
    <row r="1389" spans="10:10" x14ac:dyDescent="0.25">
      <c r="J1389"/>
    </row>
    <row r="1390" spans="10:10" x14ac:dyDescent="0.25">
      <c r="J1390"/>
    </row>
    <row r="1391" spans="10:10" x14ac:dyDescent="0.25">
      <c r="J1391"/>
    </row>
    <row r="1392" spans="10:10" x14ac:dyDescent="0.25">
      <c r="J1392"/>
    </row>
    <row r="1393" spans="10:10" x14ac:dyDescent="0.25">
      <c r="J1393"/>
    </row>
    <row r="1394" spans="10:10" x14ac:dyDescent="0.25">
      <c r="J1394"/>
    </row>
    <row r="1395" spans="10:10" x14ac:dyDescent="0.25">
      <c r="J1395"/>
    </row>
    <row r="1396" spans="10:10" x14ac:dyDescent="0.25">
      <c r="J1396"/>
    </row>
    <row r="1397" spans="10:10" x14ac:dyDescent="0.25">
      <c r="J1397"/>
    </row>
    <row r="1398" spans="10:10" x14ac:dyDescent="0.25">
      <c r="J1398"/>
    </row>
    <row r="1399" spans="10:10" x14ac:dyDescent="0.25">
      <c r="J1399"/>
    </row>
    <row r="1400" spans="10:10" x14ac:dyDescent="0.25">
      <c r="J1400"/>
    </row>
    <row r="1401" spans="10:10" x14ac:dyDescent="0.25">
      <c r="J1401"/>
    </row>
    <row r="1402" spans="10:10" x14ac:dyDescent="0.25">
      <c r="J1402"/>
    </row>
    <row r="1403" spans="10:10" x14ac:dyDescent="0.25">
      <c r="J1403"/>
    </row>
    <row r="1404" spans="10:10" x14ac:dyDescent="0.25">
      <c r="J1404"/>
    </row>
    <row r="1405" spans="10:10" x14ac:dyDescent="0.25">
      <c r="J1405"/>
    </row>
    <row r="1406" spans="10:10" x14ac:dyDescent="0.25">
      <c r="J1406"/>
    </row>
    <row r="1407" spans="10:10" x14ac:dyDescent="0.25">
      <c r="J1407"/>
    </row>
    <row r="1408" spans="10:10" x14ac:dyDescent="0.25">
      <c r="J1408"/>
    </row>
    <row r="1409" spans="10:10" x14ac:dyDescent="0.25">
      <c r="J1409"/>
    </row>
    <row r="1410" spans="10:10" x14ac:dyDescent="0.25">
      <c r="J1410"/>
    </row>
    <row r="1411" spans="10:10" x14ac:dyDescent="0.25">
      <c r="J1411"/>
    </row>
    <row r="1412" spans="10:10" x14ac:dyDescent="0.25">
      <c r="J1412"/>
    </row>
    <row r="1413" spans="10:10" x14ac:dyDescent="0.25">
      <c r="J1413"/>
    </row>
    <row r="1414" spans="10:10" x14ac:dyDescent="0.25">
      <c r="J1414"/>
    </row>
    <row r="1415" spans="10:10" x14ac:dyDescent="0.25">
      <c r="J1415"/>
    </row>
    <row r="1416" spans="10:10" x14ac:dyDescent="0.25">
      <c r="J1416"/>
    </row>
    <row r="1417" spans="10:10" x14ac:dyDescent="0.25">
      <c r="J1417"/>
    </row>
    <row r="1418" spans="10:10" x14ac:dyDescent="0.25">
      <c r="J1418"/>
    </row>
    <row r="1419" spans="10:10" x14ac:dyDescent="0.25">
      <c r="J1419"/>
    </row>
    <row r="1420" spans="10:10" x14ac:dyDescent="0.25">
      <c r="J1420"/>
    </row>
    <row r="1421" spans="10:10" x14ac:dyDescent="0.25">
      <c r="J1421"/>
    </row>
    <row r="1422" spans="10:10" x14ac:dyDescent="0.25">
      <c r="J1422"/>
    </row>
    <row r="1423" spans="10:10" x14ac:dyDescent="0.25">
      <c r="J1423"/>
    </row>
    <row r="1424" spans="10:10" x14ac:dyDescent="0.25">
      <c r="J1424"/>
    </row>
    <row r="1425" spans="10:10" x14ac:dyDescent="0.25">
      <c r="J1425"/>
    </row>
    <row r="1426" spans="10:10" x14ac:dyDescent="0.25">
      <c r="J1426"/>
    </row>
    <row r="1427" spans="10:10" x14ac:dyDescent="0.25">
      <c r="J1427"/>
    </row>
    <row r="1428" spans="10:10" x14ac:dyDescent="0.25">
      <c r="J1428"/>
    </row>
    <row r="1429" spans="10:10" x14ac:dyDescent="0.25">
      <c r="J1429"/>
    </row>
    <row r="1430" spans="10:10" x14ac:dyDescent="0.25">
      <c r="J1430"/>
    </row>
    <row r="1431" spans="10:10" x14ac:dyDescent="0.25">
      <c r="J1431"/>
    </row>
    <row r="1432" spans="10:10" x14ac:dyDescent="0.25">
      <c r="J1432"/>
    </row>
    <row r="1433" spans="10:10" x14ac:dyDescent="0.25">
      <c r="J1433"/>
    </row>
    <row r="1434" spans="10:10" x14ac:dyDescent="0.25">
      <c r="J1434"/>
    </row>
    <row r="1435" spans="10:10" x14ac:dyDescent="0.25">
      <c r="J1435"/>
    </row>
    <row r="1436" spans="10:10" x14ac:dyDescent="0.25">
      <c r="J1436"/>
    </row>
    <row r="1437" spans="10:10" x14ac:dyDescent="0.25">
      <c r="J1437"/>
    </row>
    <row r="1438" spans="10:10" x14ac:dyDescent="0.25">
      <c r="J1438"/>
    </row>
    <row r="1439" spans="10:10" x14ac:dyDescent="0.25">
      <c r="J1439"/>
    </row>
    <row r="1440" spans="10:10" x14ac:dyDescent="0.25">
      <c r="J1440"/>
    </row>
    <row r="1441" spans="10:10" x14ac:dyDescent="0.25">
      <c r="J1441"/>
    </row>
    <row r="1442" spans="10:10" x14ac:dyDescent="0.25">
      <c r="J1442"/>
    </row>
    <row r="1443" spans="10:10" x14ac:dyDescent="0.25">
      <c r="J1443"/>
    </row>
    <row r="1444" spans="10:10" x14ac:dyDescent="0.25">
      <c r="J1444"/>
    </row>
    <row r="1445" spans="10:10" x14ac:dyDescent="0.25">
      <c r="J1445"/>
    </row>
    <row r="1446" spans="10:10" x14ac:dyDescent="0.25">
      <c r="J1446"/>
    </row>
    <row r="1447" spans="10:10" x14ac:dyDescent="0.25">
      <c r="J1447"/>
    </row>
    <row r="1448" spans="10:10" x14ac:dyDescent="0.25">
      <c r="J1448"/>
    </row>
    <row r="1449" spans="10:10" x14ac:dyDescent="0.25">
      <c r="J1449"/>
    </row>
    <row r="1450" spans="10:10" x14ac:dyDescent="0.25">
      <c r="J1450"/>
    </row>
    <row r="1451" spans="10:10" x14ac:dyDescent="0.25">
      <c r="J1451"/>
    </row>
    <row r="1452" spans="10:10" x14ac:dyDescent="0.25">
      <c r="J1452"/>
    </row>
    <row r="1453" spans="10:10" x14ac:dyDescent="0.25">
      <c r="J1453"/>
    </row>
    <row r="1454" spans="10:10" x14ac:dyDescent="0.25">
      <c r="J1454"/>
    </row>
    <row r="1455" spans="10:10" x14ac:dyDescent="0.25">
      <c r="J1455"/>
    </row>
    <row r="1456" spans="10:10" x14ac:dyDescent="0.25">
      <c r="J1456"/>
    </row>
    <row r="1457" spans="10:10" x14ac:dyDescent="0.25">
      <c r="J1457"/>
    </row>
    <row r="1458" spans="10:10" x14ac:dyDescent="0.25">
      <c r="J1458"/>
    </row>
    <row r="1459" spans="10:10" x14ac:dyDescent="0.25">
      <c r="J1459"/>
    </row>
    <row r="1460" spans="10:10" x14ac:dyDescent="0.25">
      <c r="J1460"/>
    </row>
    <row r="1461" spans="10:10" x14ac:dyDescent="0.25">
      <c r="J1461"/>
    </row>
    <row r="1462" spans="10:10" x14ac:dyDescent="0.25">
      <c r="J1462"/>
    </row>
    <row r="1463" spans="10:10" x14ac:dyDescent="0.25">
      <c r="J1463"/>
    </row>
    <row r="1464" spans="10:10" x14ac:dyDescent="0.25">
      <c r="J1464"/>
    </row>
    <row r="1465" spans="10:10" x14ac:dyDescent="0.25">
      <c r="J1465"/>
    </row>
    <row r="1466" spans="10:10" x14ac:dyDescent="0.25">
      <c r="J1466"/>
    </row>
    <row r="1467" spans="10:10" x14ac:dyDescent="0.25">
      <c r="J1467"/>
    </row>
    <row r="1468" spans="10:10" x14ac:dyDescent="0.25">
      <c r="J1468"/>
    </row>
    <row r="1469" spans="10:10" x14ac:dyDescent="0.25">
      <c r="J1469"/>
    </row>
    <row r="1470" spans="10:10" x14ac:dyDescent="0.25">
      <c r="J1470"/>
    </row>
    <row r="1471" spans="10:10" x14ac:dyDescent="0.25">
      <c r="J1471"/>
    </row>
    <row r="1472" spans="10:10" x14ac:dyDescent="0.25">
      <c r="J1472"/>
    </row>
    <row r="1473" spans="10:10" x14ac:dyDescent="0.25">
      <c r="J1473"/>
    </row>
    <row r="1474" spans="10:10" x14ac:dyDescent="0.25">
      <c r="J1474"/>
    </row>
    <row r="1475" spans="10:10" x14ac:dyDescent="0.25">
      <c r="J1475"/>
    </row>
    <row r="1476" spans="10:10" x14ac:dyDescent="0.25">
      <c r="J1476"/>
    </row>
    <row r="1477" spans="10:10" x14ac:dyDescent="0.25">
      <c r="J1477"/>
    </row>
    <row r="1478" spans="10:10" x14ac:dyDescent="0.25">
      <c r="J1478"/>
    </row>
    <row r="1479" spans="10:10" x14ac:dyDescent="0.25">
      <c r="J1479"/>
    </row>
    <row r="1480" spans="10:10" x14ac:dyDescent="0.25">
      <c r="J1480"/>
    </row>
    <row r="1481" spans="10:10" x14ac:dyDescent="0.25">
      <c r="J1481"/>
    </row>
    <row r="1482" spans="10:10" x14ac:dyDescent="0.25">
      <c r="J1482"/>
    </row>
    <row r="1483" spans="10:10" x14ac:dyDescent="0.25">
      <c r="J1483"/>
    </row>
    <row r="1484" spans="10:10" x14ac:dyDescent="0.25">
      <c r="J1484"/>
    </row>
    <row r="1485" spans="10:10" x14ac:dyDescent="0.25">
      <c r="J1485"/>
    </row>
    <row r="1486" spans="10:10" x14ac:dyDescent="0.25">
      <c r="J1486"/>
    </row>
    <row r="1487" spans="10:10" x14ac:dyDescent="0.25">
      <c r="J1487"/>
    </row>
    <row r="1488" spans="10:10" x14ac:dyDescent="0.25">
      <c r="J1488"/>
    </row>
    <row r="1489" spans="10:10" x14ac:dyDescent="0.25">
      <c r="J1489"/>
    </row>
    <row r="1490" spans="10:10" x14ac:dyDescent="0.25">
      <c r="J1490"/>
    </row>
    <row r="1491" spans="10:10" x14ac:dyDescent="0.25">
      <c r="J1491"/>
    </row>
    <row r="1492" spans="10:10" x14ac:dyDescent="0.25">
      <c r="J1492"/>
    </row>
    <row r="1493" spans="10:10" x14ac:dyDescent="0.25">
      <c r="J1493"/>
    </row>
    <row r="1494" spans="10:10" x14ac:dyDescent="0.25">
      <c r="J1494"/>
    </row>
    <row r="1495" spans="10:10" x14ac:dyDescent="0.25">
      <c r="J1495"/>
    </row>
    <row r="1496" spans="10:10" x14ac:dyDescent="0.25">
      <c r="J1496"/>
    </row>
    <row r="1497" spans="10:10" x14ac:dyDescent="0.25">
      <c r="J1497"/>
    </row>
    <row r="1498" spans="10:10" x14ac:dyDescent="0.25">
      <c r="J1498"/>
    </row>
    <row r="1499" spans="10:10" x14ac:dyDescent="0.25">
      <c r="J1499"/>
    </row>
    <row r="1500" spans="10:10" x14ac:dyDescent="0.25">
      <c r="J1500"/>
    </row>
    <row r="1501" spans="10:10" x14ac:dyDescent="0.25">
      <c r="J1501"/>
    </row>
    <row r="1502" spans="10:10" x14ac:dyDescent="0.25">
      <c r="J1502"/>
    </row>
    <row r="1503" spans="10:10" x14ac:dyDescent="0.25">
      <c r="J1503"/>
    </row>
    <row r="1504" spans="10:10" x14ac:dyDescent="0.25">
      <c r="J150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braintech</dc:creator>
  <cp:lastModifiedBy>Sagar</cp:lastModifiedBy>
  <dcterms:created xsi:type="dcterms:W3CDTF">2015-06-05T10:44:10Z</dcterms:created>
  <dcterms:modified xsi:type="dcterms:W3CDTF">2015-08-14T02:09:19Z</dcterms:modified>
</cp:coreProperties>
</file>